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490" lockStructure="1"/>
  <bookViews>
    <workbookView xWindow="11985" yWindow="-15" windowWidth="12030" windowHeight="9840" tabRatio="893" firstSheet="3" activeTab="5"/>
  </bookViews>
  <sheets>
    <sheet name="Hoja de Trabajo RG" sheetId="5" state="hidden" r:id="rId1"/>
    <sheet name="Hoja de Trabajo RETA" sheetId="8" state="hidden" r:id="rId2"/>
    <sheet name="Hoja de Trabajo TOTAL" sheetId="6" state="hidden" r:id="rId3"/>
    <sheet name="Cuadro de Mandos RG" sheetId="1" r:id="rId4"/>
    <sheet name="Cuadro de Mandos RETA" sheetId="9" r:id="rId5"/>
    <sheet name="Cuadro de Mandos TOTAL" sheetId="7" r:id="rId6"/>
    <sheet name="Actividad entre Mutuas" sheetId="10" r:id="rId7"/>
  </sheets>
  <definedNames>
    <definedName name="_xlnm.Print_Area" localSheetId="4">'Cuadro de Mandos RETA'!$B$2:$K$42</definedName>
    <definedName name="_xlnm.Print_Area" localSheetId="3">'Cuadro de Mandos RG'!$B$2:$K$41</definedName>
    <definedName name="_xlnm.Print_Area" localSheetId="5">'Cuadro de Mandos TOTAL'!$B$2:$K$52</definedName>
    <definedName name="_xlnm.Print_Area" localSheetId="1">'Hoja de Trabajo RETA'!$B$2:$K$63</definedName>
    <definedName name="_xlnm.Print_Area" localSheetId="0">'Hoja de Trabajo RG'!$B$2:$K$63</definedName>
    <definedName name="_xlnm.Print_Area" localSheetId="2">'Hoja de Trabajo TOTAL'!$B$2:$K$82</definedName>
  </definedNames>
  <calcPr calcId="145621"/>
</workbook>
</file>

<file path=xl/calcChain.xml><?xml version="1.0" encoding="utf-8"?>
<calcChain xmlns="http://schemas.openxmlformats.org/spreadsheetml/2006/main">
  <c r="E60" i="8" l="1"/>
  <c r="E58" i="8"/>
  <c r="E56" i="8"/>
  <c r="E55" i="8"/>
  <c r="E50" i="8"/>
  <c r="E56" i="5"/>
  <c r="E55" i="5"/>
  <c r="E60" i="5"/>
  <c r="E58" i="5"/>
  <c r="I72" i="6"/>
  <c r="H72" i="6"/>
  <c r="G72" i="6"/>
  <c r="F72" i="6"/>
  <c r="E72" i="6"/>
  <c r="D72" i="6"/>
  <c r="C43" i="10"/>
  <c r="C42" i="10"/>
  <c r="C41" i="10"/>
  <c r="C40" i="10"/>
  <c r="C39" i="10"/>
  <c r="C38" i="10"/>
  <c r="C37" i="10"/>
  <c r="E4" i="10" l="1"/>
  <c r="F19" i="10" l="1"/>
  <c r="E67" i="8"/>
  <c r="M7" i="5" l="1"/>
  <c r="E35" i="5"/>
  <c r="E32" i="5"/>
  <c r="D32" i="5"/>
  <c r="H49" i="7"/>
  <c r="H48" i="7"/>
  <c r="H47" i="7"/>
  <c r="F49" i="7"/>
  <c r="F48" i="7"/>
  <c r="F47" i="7"/>
  <c r="D49" i="7"/>
  <c r="D48" i="7"/>
  <c r="D47" i="7"/>
  <c r="I48" i="7"/>
  <c r="G47" i="7"/>
  <c r="Q72" i="6"/>
  <c r="I50" i="7" s="1"/>
  <c r="F50" i="7"/>
  <c r="D50" i="7"/>
  <c r="K71" i="6"/>
  <c r="J49" i="7" s="1"/>
  <c r="J71" i="6"/>
  <c r="K70" i="6"/>
  <c r="J48" i="7" s="1"/>
  <c r="J70" i="6"/>
  <c r="K69" i="6"/>
  <c r="J47" i="7" s="1"/>
  <c r="J69" i="6"/>
  <c r="O69" i="6"/>
  <c r="E47" i="7" s="1"/>
  <c r="P69" i="6"/>
  <c r="Q69" i="6"/>
  <c r="I47" i="7" s="1"/>
  <c r="O70" i="6"/>
  <c r="E48" i="7" s="1"/>
  <c r="P70" i="6"/>
  <c r="G48" i="7" s="1"/>
  <c r="Q70" i="6"/>
  <c r="O71" i="6"/>
  <c r="E49" i="7" s="1"/>
  <c r="P71" i="6"/>
  <c r="G49" i="7" s="1"/>
  <c r="Q71" i="6"/>
  <c r="I49" i="7" s="1"/>
  <c r="P72" i="6"/>
  <c r="G50" i="7" s="1"/>
  <c r="R71" i="6" l="1"/>
  <c r="K49" i="7" s="1"/>
  <c r="R70" i="6"/>
  <c r="K48" i="7" s="1"/>
  <c r="R69" i="6"/>
  <c r="K47" i="7" s="1"/>
  <c r="H50" i="7"/>
  <c r="O72" i="6"/>
  <c r="E50" i="7" s="1"/>
  <c r="I69" i="8"/>
  <c r="H46" i="9" s="1"/>
  <c r="H69" i="8"/>
  <c r="G69" i="8"/>
  <c r="F46" i="9" s="1"/>
  <c r="F69" i="8"/>
  <c r="E69" i="8"/>
  <c r="D46" i="9" s="1"/>
  <c r="D69" i="8"/>
  <c r="I69" i="5"/>
  <c r="H46" i="1" s="1"/>
  <c r="H69" i="5"/>
  <c r="G69" i="5"/>
  <c r="E69" i="5"/>
  <c r="D46" i="1" s="1"/>
  <c r="D69" i="5"/>
  <c r="F69" i="5"/>
  <c r="F67" i="5"/>
  <c r="H45" i="9"/>
  <c r="F45" i="9"/>
  <c r="D45" i="9"/>
  <c r="H43" i="9"/>
  <c r="F43" i="9"/>
  <c r="D43" i="9"/>
  <c r="H41" i="9"/>
  <c r="F41" i="9"/>
  <c r="D41" i="9"/>
  <c r="J7" i="9"/>
  <c r="J5" i="9"/>
  <c r="H45" i="1"/>
  <c r="F45" i="1"/>
  <c r="D45" i="1"/>
  <c r="I45" i="1"/>
  <c r="H43" i="1"/>
  <c r="F43" i="1"/>
  <c r="D43" i="1"/>
  <c r="F42" i="1"/>
  <c r="H41" i="1"/>
  <c r="F41" i="1"/>
  <c r="D41" i="1"/>
  <c r="Q68" i="8"/>
  <c r="I45" i="9" s="1"/>
  <c r="P68" i="8"/>
  <c r="G45" i="9" s="1"/>
  <c r="O68" i="8"/>
  <c r="E45" i="9" s="1"/>
  <c r="Q66" i="8"/>
  <c r="I43" i="9" s="1"/>
  <c r="P66" i="8"/>
  <c r="G43" i="9" s="1"/>
  <c r="O66" i="8"/>
  <c r="E43" i="9" s="1"/>
  <c r="Q64" i="8"/>
  <c r="P64" i="8"/>
  <c r="O64" i="8"/>
  <c r="Q63" i="8"/>
  <c r="P63" i="8"/>
  <c r="O63" i="8"/>
  <c r="Q62" i="8"/>
  <c r="I41" i="9" s="1"/>
  <c r="P62" i="8"/>
  <c r="G41" i="9" s="1"/>
  <c r="O62" i="8"/>
  <c r="E41" i="9" s="1"/>
  <c r="Q68" i="5"/>
  <c r="P68" i="5"/>
  <c r="G45" i="1" s="1"/>
  <c r="O68" i="5"/>
  <c r="E45" i="1" s="1"/>
  <c r="Q66" i="5"/>
  <c r="I43" i="1" s="1"/>
  <c r="P66" i="5"/>
  <c r="G43" i="1" s="1"/>
  <c r="O66" i="5"/>
  <c r="E43" i="1" s="1"/>
  <c r="Q64" i="5"/>
  <c r="P64" i="5"/>
  <c r="O64" i="5"/>
  <c r="Q63" i="5"/>
  <c r="P63" i="5"/>
  <c r="O63" i="5"/>
  <c r="Q62" i="5"/>
  <c r="I41" i="1" s="1"/>
  <c r="P62" i="5"/>
  <c r="G41" i="1" s="1"/>
  <c r="O62" i="5"/>
  <c r="E41" i="1" s="1"/>
  <c r="D75" i="6"/>
  <c r="K68" i="8"/>
  <c r="J45" i="9" s="1"/>
  <c r="J68" i="8"/>
  <c r="K66" i="8"/>
  <c r="J43" i="9" s="1"/>
  <c r="J66" i="8"/>
  <c r="K64" i="8"/>
  <c r="J64" i="8"/>
  <c r="R64" i="8" s="1"/>
  <c r="K63" i="8"/>
  <c r="J63" i="8"/>
  <c r="K62" i="8"/>
  <c r="J41" i="9" s="1"/>
  <c r="J62" i="8"/>
  <c r="K60" i="8"/>
  <c r="J60" i="8"/>
  <c r="K58" i="8"/>
  <c r="J58" i="8"/>
  <c r="K56" i="8"/>
  <c r="J56" i="8"/>
  <c r="K55" i="8"/>
  <c r="J55" i="8"/>
  <c r="K52" i="8"/>
  <c r="J52" i="8"/>
  <c r="K50" i="8"/>
  <c r="J50" i="8"/>
  <c r="K49" i="8"/>
  <c r="J49" i="8"/>
  <c r="K47" i="8"/>
  <c r="J47" i="8"/>
  <c r="K46" i="8"/>
  <c r="J46" i="8"/>
  <c r="K45" i="8"/>
  <c r="J45" i="8"/>
  <c r="J72" i="6" s="1"/>
  <c r="K43" i="8"/>
  <c r="J43" i="8"/>
  <c r="K41" i="8"/>
  <c r="J41" i="8"/>
  <c r="K40" i="8"/>
  <c r="J40" i="8"/>
  <c r="K38" i="8"/>
  <c r="J38" i="8"/>
  <c r="K37" i="8"/>
  <c r="J37" i="8"/>
  <c r="K34" i="8"/>
  <c r="J34" i="8"/>
  <c r="K32" i="8"/>
  <c r="J32" i="8"/>
  <c r="K30" i="8"/>
  <c r="J30" i="8"/>
  <c r="K29" i="8"/>
  <c r="J29" i="8"/>
  <c r="K26" i="8"/>
  <c r="J26" i="8"/>
  <c r="K25" i="8"/>
  <c r="J25" i="8"/>
  <c r="K23" i="8"/>
  <c r="J23" i="8"/>
  <c r="K22" i="8"/>
  <c r="J22" i="8"/>
  <c r="K20" i="8"/>
  <c r="J20" i="8"/>
  <c r="K18" i="8"/>
  <c r="J18" i="8"/>
  <c r="K17" i="8"/>
  <c r="J17" i="8"/>
  <c r="K16" i="8"/>
  <c r="K67" i="8" s="1"/>
  <c r="J16" i="8"/>
  <c r="K68" i="5"/>
  <c r="J45" i="1" s="1"/>
  <c r="J68" i="5"/>
  <c r="K66" i="5"/>
  <c r="J43" i="1" s="1"/>
  <c r="J66" i="5"/>
  <c r="R66" i="5" s="1"/>
  <c r="K43" i="1" s="1"/>
  <c r="K64" i="5"/>
  <c r="J64" i="5"/>
  <c r="K63" i="5"/>
  <c r="J63" i="5"/>
  <c r="K62" i="5"/>
  <c r="J41" i="1" s="1"/>
  <c r="J62" i="5"/>
  <c r="I79" i="6"/>
  <c r="H55" i="7" s="1"/>
  <c r="H79" i="6"/>
  <c r="G79" i="6"/>
  <c r="F55" i="7" s="1"/>
  <c r="F79" i="6"/>
  <c r="E79" i="6"/>
  <c r="D55" i="7" s="1"/>
  <c r="D79" i="6"/>
  <c r="I77" i="6"/>
  <c r="H53" i="7" s="1"/>
  <c r="H77" i="6"/>
  <c r="G77" i="6"/>
  <c r="F53" i="7" s="1"/>
  <c r="F77" i="6"/>
  <c r="E77" i="6"/>
  <c r="D77" i="6"/>
  <c r="I75" i="6"/>
  <c r="H75" i="6"/>
  <c r="G75" i="6"/>
  <c r="F75" i="6"/>
  <c r="E75" i="6"/>
  <c r="I74" i="6"/>
  <c r="H74" i="6"/>
  <c r="G74" i="6"/>
  <c r="F74" i="6"/>
  <c r="E74" i="6"/>
  <c r="D74" i="6"/>
  <c r="I73" i="6"/>
  <c r="H51" i="7" s="1"/>
  <c r="H73" i="6"/>
  <c r="G73" i="6"/>
  <c r="F73" i="6"/>
  <c r="E73" i="6"/>
  <c r="D51" i="7" s="1"/>
  <c r="D73" i="6"/>
  <c r="D67" i="8"/>
  <c r="I67" i="8"/>
  <c r="H67" i="8"/>
  <c r="G67" i="8"/>
  <c r="F44" i="9" s="1"/>
  <c r="F67" i="8"/>
  <c r="P67" i="8" s="1"/>
  <c r="G44" i="9" s="1"/>
  <c r="D44" i="9"/>
  <c r="I65" i="8"/>
  <c r="Q65" i="8" s="1"/>
  <c r="I42" i="9" s="1"/>
  <c r="H65" i="8"/>
  <c r="G65" i="8"/>
  <c r="F42" i="9" s="1"/>
  <c r="F65" i="8"/>
  <c r="E65" i="8"/>
  <c r="D42" i="9" s="1"/>
  <c r="D65" i="8"/>
  <c r="I67" i="5"/>
  <c r="H44" i="1" s="1"/>
  <c r="H67" i="5"/>
  <c r="G67" i="5"/>
  <c r="F44" i="1" s="1"/>
  <c r="E67" i="5"/>
  <c r="D44" i="1" s="1"/>
  <c r="D67" i="5"/>
  <c r="I65" i="5"/>
  <c r="Q65" i="5" s="1"/>
  <c r="I42" i="1" s="1"/>
  <c r="H65" i="5"/>
  <c r="G65" i="5"/>
  <c r="F65" i="5"/>
  <c r="P65" i="5" s="1"/>
  <c r="G42" i="1" s="1"/>
  <c r="E65" i="5"/>
  <c r="D42" i="1" s="1"/>
  <c r="D65" i="5"/>
  <c r="J22" i="5"/>
  <c r="P69" i="8" l="1"/>
  <c r="G46" i="9" s="1"/>
  <c r="J69" i="8"/>
  <c r="K69" i="8"/>
  <c r="R68" i="8"/>
  <c r="K45" i="9" s="1"/>
  <c r="H42" i="9"/>
  <c r="P65" i="8"/>
  <c r="G42" i="9" s="1"/>
  <c r="Q67" i="8"/>
  <c r="I44" i="9" s="1"/>
  <c r="K72" i="6"/>
  <c r="J50" i="7" s="1"/>
  <c r="H44" i="9"/>
  <c r="K74" i="6"/>
  <c r="J65" i="5"/>
  <c r="F76" i="6"/>
  <c r="Q75" i="6"/>
  <c r="H42" i="1"/>
  <c r="P75" i="6"/>
  <c r="R64" i="5"/>
  <c r="Q67" i="5"/>
  <c r="I44" i="1" s="1"/>
  <c r="Q69" i="5"/>
  <c r="I46" i="1" s="1"/>
  <c r="R66" i="8"/>
  <c r="K43" i="9" s="1"/>
  <c r="K65" i="8"/>
  <c r="J42" i="9" s="1"/>
  <c r="R63" i="8"/>
  <c r="O65" i="8"/>
  <c r="E42" i="9" s="1"/>
  <c r="O65" i="5"/>
  <c r="E42" i="1" s="1"/>
  <c r="K65" i="5"/>
  <c r="J42" i="1" s="1"/>
  <c r="J65" i="8"/>
  <c r="R63" i="5"/>
  <c r="O75" i="6"/>
  <c r="R68" i="5"/>
  <c r="K45" i="1" s="1"/>
  <c r="O69" i="8"/>
  <c r="E46" i="9" s="1"/>
  <c r="O67" i="8"/>
  <c r="E44" i="9" s="1"/>
  <c r="O69" i="5"/>
  <c r="E46" i="1" s="1"/>
  <c r="O67" i="5"/>
  <c r="E44" i="1" s="1"/>
  <c r="P74" i="6"/>
  <c r="J77" i="6"/>
  <c r="J74" i="6"/>
  <c r="K77" i="6"/>
  <c r="J53" i="7" s="1"/>
  <c r="G76" i="6"/>
  <c r="F52" i="7" s="1"/>
  <c r="I76" i="6"/>
  <c r="H52" i="7" s="1"/>
  <c r="J75" i="6"/>
  <c r="J79" i="6"/>
  <c r="K75" i="6"/>
  <c r="K79" i="6"/>
  <c r="Q73" i="6"/>
  <c r="I51" i="7" s="1"/>
  <c r="P79" i="6"/>
  <c r="G55" i="7" s="1"/>
  <c r="E76" i="6"/>
  <c r="O74" i="6"/>
  <c r="O77" i="6"/>
  <c r="E53" i="7" s="1"/>
  <c r="Q79" i="6"/>
  <c r="I55" i="7" s="1"/>
  <c r="D53" i="7"/>
  <c r="J73" i="6"/>
  <c r="D76" i="6"/>
  <c r="H76" i="6"/>
  <c r="P77" i="6"/>
  <c r="G53" i="7" s="1"/>
  <c r="O73" i="6"/>
  <c r="E51" i="7" s="1"/>
  <c r="Q74" i="6"/>
  <c r="Q77" i="6"/>
  <c r="I53" i="7" s="1"/>
  <c r="O79" i="6"/>
  <c r="E55" i="7" s="1"/>
  <c r="P73" i="6"/>
  <c r="G51" i="7" s="1"/>
  <c r="R62" i="8"/>
  <c r="K41" i="9" s="1"/>
  <c r="J44" i="9"/>
  <c r="J67" i="8"/>
  <c r="R67" i="8" s="1"/>
  <c r="K44" i="9" s="1"/>
  <c r="Q69" i="8"/>
  <c r="I46" i="9" s="1"/>
  <c r="R62" i="5"/>
  <c r="K41" i="1" s="1"/>
  <c r="F51" i="7"/>
  <c r="K73" i="6"/>
  <c r="P69" i="5"/>
  <c r="G46" i="1" s="1"/>
  <c r="F46" i="1"/>
  <c r="P67" i="5"/>
  <c r="G44" i="1" s="1"/>
  <c r="H66" i="6"/>
  <c r="I57" i="8"/>
  <c r="H57" i="8"/>
  <c r="I42" i="8"/>
  <c r="H30" i="9" s="1"/>
  <c r="H42" i="8"/>
  <c r="Q42" i="8" s="1"/>
  <c r="I30" i="9" s="1"/>
  <c r="I39" i="8"/>
  <c r="H28" i="9" s="1"/>
  <c r="I31" i="8"/>
  <c r="H31" i="8"/>
  <c r="I27" i="8"/>
  <c r="I24" i="8"/>
  <c r="H24" i="8"/>
  <c r="I19" i="8"/>
  <c r="H39" i="8"/>
  <c r="I57" i="5"/>
  <c r="H38" i="1" s="1"/>
  <c r="H57" i="5"/>
  <c r="I54" i="5"/>
  <c r="H54" i="5"/>
  <c r="Q54" i="5" s="1"/>
  <c r="I36" i="1" s="1"/>
  <c r="K50" i="5"/>
  <c r="J47" i="5"/>
  <c r="K46" i="5"/>
  <c r="J33" i="1" s="1"/>
  <c r="J46" i="5"/>
  <c r="I61" i="5"/>
  <c r="H40" i="1" s="1"/>
  <c r="K47" i="5"/>
  <c r="R47" i="5" s="1"/>
  <c r="J49" i="5"/>
  <c r="K49" i="5"/>
  <c r="R49" i="5" s="1"/>
  <c r="I31" i="5"/>
  <c r="H23" i="1" s="1"/>
  <c r="H31" i="5"/>
  <c r="Q31" i="5" s="1"/>
  <c r="I23" i="1" s="1"/>
  <c r="H27" i="5"/>
  <c r="I24" i="5"/>
  <c r="H20" i="1" s="1"/>
  <c r="H24" i="5"/>
  <c r="Q24" i="5" s="1"/>
  <c r="I20" i="1" s="1"/>
  <c r="I21" i="5"/>
  <c r="H19" i="1" s="1"/>
  <c r="H21" i="5"/>
  <c r="H39" i="5"/>
  <c r="H42" i="5"/>
  <c r="J45" i="5"/>
  <c r="H61" i="5"/>
  <c r="I39" i="5"/>
  <c r="I42" i="5"/>
  <c r="H30" i="1" s="1"/>
  <c r="J50" i="5"/>
  <c r="H21" i="8"/>
  <c r="H44" i="5"/>
  <c r="Q44" i="5" s="1"/>
  <c r="I31" i="1" s="1"/>
  <c r="I21" i="8"/>
  <c r="H19" i="9" s="1"/>
  <c r="H44" i="8"/>
  <c r="H48" i="8"/>
  <c r="I48" i="8"/>
  <c r="Q48" i="8" s="1"/>
  <c r="I34" i="9" s="1"/>
  <c r="H53" i="5"/>
  <c r="I44" i="5"/>
  <c r="H31" i="1" s="1"/>
  <c r="K45" i="5"/>
  <c r="J32" i="1" s="1"/>
  <c r="I48" i="5"/>
  <c r="H34" i="1" s="1"/>
  <c r="I53" i="5"/>
  <c r="H19" i="8"/>
  <c r="H27" i="8"/>
  <c r="Q27" i="8" s="1"/>
  <c r="I21" i="9" s="1"/>
  <c r="I44" i="8"/>
  <c r="H31" i="9" s="1"/>
  <c r="H48" i="5"/>
  <c r="I19" i="5"/>
  <c r="I27" i="5"/>
  <c r="Q27" i="5" s="1"/>
  <c r="I21" i="1" s="1"/>
  <c r="H19" i="5"/>
  <c r="Q19" i="5" s="1"/>
  <c r="I18" i="1" s="1"/>
  <c r="F35" i="10"/>
  <c r="E43" i="10" s="1"/>
  <c r="F34" i="10"/>
  <c r="E42" i="10" s="1"/>
  <c r="F33" i="10"/>
  <c r="E41" i="10" s="1"/>
  <c r="F32" i="10"/>
  <c r="E40" i="10" s="1"/>
  <c r="F31" i="10"/>
  <c r="E39" i="10" s="1"/>
  <c r="F30" i="10"/>
  <c r="E38" i="10" s="1"/>
  <c r="F29" i="10"/>
  <c r="E37" i="10" s="1"/>
  <c r="F27" i="10"/>
  <c r="D43" i="10" s="1"/>
  <c r="F26" i="10"/>
  <c r="D42" i="10" s="1"/>
  <c r="F42" i="10" s="1"/>
  <c r="F25" i="10"/>
  <c r="D41" i="10" s="1"/>
  <c r="F41" i="10" s="1"/>
  <c r="F24" i="10"/>
  <c r="D40" i="10" s="1"/>
  <c r="F40" i="10" s="1"/>
  <c r="F23" i="10"/>
  <c r="D39" i="10" s="1"/>
  <c r="F22" i="10"/>
  <c r="D38" i="10" s="1"/>
  <c r="F38" i="10" s="1"/>
  <c r="F21" i="10"/>
  <c r="D37" i="10" s="1"/>
  <c r="F37" i="10" s="1"/>
  <c r="F18" i="10"/>
  <c r="F17" i="10"/>
  <c r="F16" i="10"/>
  <c r="F15" i="10"/>
  <c r="F14" i="10"/>
  <c r="F13" i="10"/>
  <c r="J7" i="7"/>
  <c r="J5" i="7"/>
  <c r="J7" i="1"/>
  <c r="J5" i="1"/>
  <c r="J7" i="6"/>
  <c r="J5" i="6"/>
  <c r="J7" i="8"/>
  <c r="J5" i="8"/>
  <c r="I61" i="6"/>
  <c r="H61" i="6"/>
  <c r="G61" i="6"/>
  <c r="F61" i="6"/>
  <c r="E61" i="6"/>
  <c r="D61" i="6"/>
  <c r="D46" i="6"/>
  <c r="I59" i="6"/>
  <c r="H59" i="6"/>
  <c r="G59" i="6"/>
  <c r="F59" i="6"/>
  <c r="E59" i="6"/>
  <c r="D59" i="6"/>
  <c r="I57" i="6"/>
  <c r="H57" i="6"/>
  <c r="G57" i="6"/>
  <c r="F57" i="6"/>
  <c r="D57" i="6"/>
  <c r="E57" i="6"/>
  <c r="I56" i="6"/>
  <c r="H56" i="6"/>
  <c r="G56" i="6"/>
  <c r="E56" i="6"/>
  <c r="F56" i="6"/>
  <c r="D56" i="6"/>
  <c r="I53" i="6"/>
  <c r="H53" i="6"/>
  <c r="G53" i="6"/>
  <c r="F53" i="6"/>
  <c r="E53" i="6"/>
  <c r="D53" i="6"/>
  <c r="I51" i="6"/>
  <c r="E51" i="6"/>
  <c r="H51" i="6"/>
  <c r="G51" i="6"/>
  <c r="F51" i="6"/>
  <c r="D51" i="6"/>
  <c r="I50" i="6"/>
  <c r="H50" i="6"/>
  <c r="H55" i="6" s="1"/>
  <c r="G50" i="6"/>
  <c r="F50" i="6"/>
  <c r="F55" i="6" s="1"/>
  <c r="D50" i="6"/>
  <c r="E50" i="6"/>
  <c r="I48" i="6"/>
  <c r="H48" i="6"/>
  <c r="G48" i="6"/>
  <c r="F48" i="6"/>
  <c r="D48" i="6"/>
  <c r="E48" i="6"/>
  <c r="I47" i="6"/>
  <c r="H34" i="7" s="1"/>
  <c r="H47" i="6"/>
  <c r="G47" i="6"/>
  <c r="F34" i="7" s="1"/>
  <c r="F47" i="6"/>
  <c r="E47" i="6"/>
  <c r="D34" i="7" s="1"/>
  <c r="D47" i="6"/>
  <c r="I46" i="6"/>
  <c r="H46" i="6"/>
  <c r="G46" i="6"/>
  <c r="F46" i="6"/>
  <c r="E46" i="6"/>
  <c r="D33" i="7" s="1"/>
  <c r="I44" i="6"/>
  <c r="H44" i="6"/>
  <c r="H18" i="6"/>
  <c r="H80" i="6" s="1"/>
  <c r="G44" i="6"/>
  <c r="F44" i="6"/>
  <c r="E44" i="6"/>
  <c r="D44" i="6"/>
  <c r="I42" i="6"/>
  <c r="H42" i="6"/>
  <c r="Q42" i="6" s="1"/>
  <c r="G42" i="6"/>
  <c r="E42" i="6"/>
  <c r="F42" i="6"/>
  <c r="D42" i="6"/>
  <c r="I41" i="6"/>
  <c r="H30" i="7" s="1"/>
  <c r="H41" i="6"/>
  <c r="G41" i="6"/>
  <c r="F30" i="7" s="1"/>
  <c r="F41" i="6"/>
  <c r="D41" i="6"/>
  <c r="E41" i="6"/>
  <c r="D30" i="7" s="1"/>
  <c r="I39" i="6"/>
  <c r="H39" i="6"/>
  <c r="G39" i="6"/>
  <c r="F39" i="6"/>
  <c r="E39" i="6"/>
  <c r="E18" i="6"/>
  <c r="E80" i="6" s="1"/>
  <c r="D39" i="6"/>
  <c r="I38" i="6"/>
  <c r="H38" i="6"/>
  <c r="G38" i="6"/>
  <c r="E38" i="6"/>
  <c r="D28" i="7" s="1"/>
  <c r="F38" i="6"/>
  <c r="D38" i="6"/>
  <c r="I35" i="6"/>
  <c r="H35" i="6"/>
  <c r="G35" i="6"/>
  <c r="E35" i="6"/>
  <c r="F35" i="6"/>
  <c r="D35" i="6"/>
  <c r="I33" i="6"/>
  <c r="H33" i="6"/>
  <c r="G33" i="6"/>
  <c r="F33" i="6"/>
  <c r="I31" i="6"/>
  <c r="H31" i="6"/>
  <c r="G31" i="6"/>
  <c r="F31" i="6"/>
  <c r="D31" i="6"/>
  <c r="E31" i="6"/>
  <c r="I30" i="6"/>
  <c r="H30" i="6"/>
  <c r="G30" i="6"/>
  <c r="F30" i="6"/>
  <c r="I27" i="6"/>
  <c r="H27" i="6"/>
  <c r="G27" i="6"/>
  <c r="F27" i="6"/>
  <c r="E27" i="6"/>
  <c r="D27" i="6"/>
  <c r="I26" i="6"/>
  <c r="H26" i="6"/>
  <c r="G26" i="6"/>
  <c r="F26" i="6"/>
  <c r="E26" i="6"/>
  <c r="D26" i="6"/>
  <c r="I24" i="6"/>
  <c r="H24" i="6"/>
  <c r="G24" i="6"/>
  <c r="F24" i="6"/>
  <c r="E24" i="6"/>
  <c r="D24" i="6"/>
  <c r="I23" i="6"/>
  <c r="H23" i="6"/>
  <c r="G23" i="6"/>
  <c r="F23" i="6"/>
  <c r="D23" i="6"/>
  <c r="E23" i="6"/>
  <c r="I21" i="6"/>
  <c r="H21" i="6"/>
  <c r="G21" i="6"/>
  <c r="F21" i="6"/>
  <c r="E21" i="6"/>
  <c r="E22" i="6" s="1"/>
  <c r="D20" i="7" s="1"/>
  <c r="D21" i="6"/>
  <c r="I19" i="6"/>
  <c r="I18" i="6"/>
  <c r="H19" i="6"/>
  <c r="D19" i="6"/>
  <c r="G19" i="6"/>
  <c r="E19" i="6"/>
  <c r="F19" i="6"/>
  <c r="G18" i="6"/>
  <c r="F18" i="6"/>
  <c r="F80" i="6" s="1"/>
  <c r="D18" i="6"/>
  <c r="D80" i="6" s="1"/>
  <c r="I17" i="6"/>
  <c r="I78" i="6" s="1"/>
  <c r="H17" i="6"/>
  <c r="H78" i="6" s="1"/>
  <c r="G17" i="6"/>
  <c r="F17" i="6"/>
  <c r="F78" i="6" s="1"/>
  <c r="D17" i="6"/>
  <c r="D78" i="6" s="1"/>
  <c r="E17" i="6"/>
  <c r="I61" i="8"/>
  <c r="H40" i="9" s="1"/>
  <c r="I54" i="8"/>
  <c r="Q46" i="8"/>
  <c r="I33" i="9" s="1"/>
  <c r="H33" i="9"/>
  <c r="F33" i="9"/>
  <c r="D33" i="9"/>
  <c r="Q45" i="8"/>
  <c r="I32" i="9" s="1"/>
  <c r="H32" i="9"/>
  <c r="F32" i="9"/>
  <c r="D32" i="9"/>
  <c r="H29" i="9"/>
  <c r="F29" i="9"/>
  <c r="D29" i="9"/>
  <c r="H27" i="9"/>
  <c r="F27" i="9"/>
  <c r="D27" i="9"/>
  <c r="H36" i="8"/>
  <c r="I36" i="8"/>
  <c r="H17" i="9"/>
  <c r="F17" i="9"/>
  <c r="D17" i="9"/>
  <c r="H16" i="9"/>
  <c r="F16" i="9"/>
  <c r="D16" i="9"/>
  <c r="H61" i="8"/>
  <c r="G61" i="8"/>
  <c r="F61" i="8"/>
  <c r="E61" i="8"/>
  <c r="D61" i="8"/>
  <c r="Q60" i="8"/>
  <c r="P60" i="8"/>
  <c r="O60" i="8"/>
  <c r="Q58" i="8"/>
  <c r="P58" i="8"/>
  <c r="O58" i="8"/>
  <c r="R58" i="8"/>
  <c r="G57" i="8"/>
  <c r="F57" i="8"/>
  <c r="P57" i="8" s="1"/>
  <c r="G38" i="9" s="1"/>
  <c r="E57" i="8"/>
  <c r="D38" i="9" s="1"/>
  <c r="D57" i="8"/>
  <c r="Q56" i="8"/>
  <c r="P56" i="8"/>
  <c r="O56" i="8"/>
  <c r="Q55" i="8"/>
  <c r="P55" i="8"/>
  <c r="O55" i="8"/>
  <c r="K57" i="8"/>
  <c r="J38" i="9" s="1"/>
  <c r="J57" i="8"/>
  <c r="H54" i="8"/>
  <c r="G54" i="8"/>
  <c r="F36" i="9" s="1"/>
  <c r="F54" i="8"/>
  <c r="P54" i="8" s="1"/>
  <c r="G36" i="9" s="1"/>
  <c r="E54" i="8"/>
  <c r="D54" i="8"/>
  <c r="I53" i="8"/>
  <c r="H53" i="8"/>
  <c r="G53" i="8"/>
  <c r="F35" i="9" s="1"/>
  <c r="F53" i="8"/>
  <c r="E53" i="8"/>
  <c r="D53" i="8"/>
  <c r="Q52" i="8"/>
  <c r="P52" i="8"/>
  <c r="O52" i="8"/>
  <c r="J54" i="8"/>
  <c r="Q50" i="8"/>
  <c r="P50" i="8"/>
  <c r="O50" i="8"/>
  <c r="R50" i="8"/>
  <c r="Q49" i="8"/>
  <c r="P49" i="8"/>
  <c r="O49" i="8"/>
  <c r="G48" i="8"/>
  <c r="F34" i="9" s="1"/>
  <c r="F48" i="8"/>
  <c r="E48" i="8"/>
  <c r="D48" i="8"/>
  <c r="Q47" i="8"/>
  <c r="P47" i="8"/>
  <c r="O47" i="8"/>
  <c r="P46" i="8"/>
  <c r="G33" i="9" s="1"/>
  <c r="O46" i="8"/>
  <c r="E33" i="9" s="1"/>
  <c r="P45" i="8"/>
  <c r="G32" i="9" s="1"/>
  <c r="O45" i="8"/>
  <c r="E32" i="9" s="1"/>
  <c r="G44" i="8"/>
  <c r="F31" i="9" s="1"/>
  <c r="F44" i="8"/>
  <c r="E44" i="8"/>
  <c r="D31" i="9" s="1"/>
  <c r="D44" i="8"/>
  <c r="O44" i="8" s="1"/>
  <c r="E31" i="9" s="1"/>
  <c r="Q43" i="8"/>
  <c r="P43" i="8"/>
  <c r="O43" i="8"/>
  <c r="G42" i="8"/>
  <c r="F42" i="8"/>
  <c r="E42" i="8"/>
  <c r="D30" i="9" s="1"/>
  <c r="D42" i="8"/>
  <c r="Q41" i="8"/>
  <c r="P41" i="8"/>
  <c r="O41" i="8"/>
  <c r="Q40" i="8"/>
  <c r="I29" i="9" s="1"/>
  <c r="P40" i="8"/>
  <c r="G29" i="9" s="1"/>
  <c r="O40" i="8"/>
  <c r="E29" i="9" s="1"/>
  <c r="J29" i="9"/>
  <c r="G39" i="8"/>
  <c r="F28" i="9" s="1"/>
  <c r="F39" i="8"/>
  <c r="E39" i="8"/>
  <c r="D28" i="9" s="1"/>
  <c r="D39" i="8"/>
  <c r="Q38" i="8"/>
  <c r="P38" i="8"/>
  <c r="O38" i="8"/>
  <c r="Q37" i="8"/>
  <c r="I27" i="9"/>
  <c r="P37" i="8"/>
  <c r="G27" i="9" s="1"/>
  <c r="O37" i="8"/>
  <c r="E27" i="9" s="1"/>
  <c r="J27" i="9"/>
  <c r="G36" i="8"/>
  <c r="F26" i="9" s="1"/>
  <c r="F36" i="8"/>
  <c r="E36" i="8"/>
  <c r="D36" i="8"/>
  <c r="Q34" i="8"/>
  <c r="P34" i="8"/>
  <c r="O34" i="8"/>
  <c r="Q32" i="8"/>
  <c r="P32" i="8"/>
  <c r="R32" i="8"/>
  <c r="G31" i="8"/>
  <c r="F23" i="9" s="1"/>
  <c r="F31" i="8"/>
  <c r="D31" i="8"/>
  <c r="Q30" i="8"/>
  <c r="P30" i="8"/>
  <c r="O30" i="8"/>
  <c r="Q29" i="8"/>
  <c r="P29" i="8"/>
  <c r="J31" i="8"/>
  <c r="G27" i="8"/>
  <c r="F27" i="8"/>
  <c r="E27" i="8"/>
  <c r="D27" i="8"/>
  <c r="O27" i="8" s="1"/>
  <c r="E21" i="9" s="1"/>
  <c r="Q26" i="8"/>
  <c r="P26" i="8"/>
  <c r="O26" i="8"/>
  <c r="Q25" i="8"/>
  <c r="P25" i="8"/>
  <c r="O25" i="8"/>
  <c r="G24" i="8"/>
  <c r="F20" i="9" s="1"/>
  <c r="F24" i="8"/>
  <c r="E24" i="8"/>
  <c r="D24" i="8"/>
  <c r="Q23" i="8"/>
  <c r="P23" i="8"/>
  <c r="O23" i="8"/>
  <c r="K24" i="8"/>
  <c r="J20" i="9" s="1"/>
  <c r="Q22" i="8"/>
  <c r="P22" i="8"/>
  <c r="O22" i="8"/>
  <c r="G21" i="8"/>
  <c r="F21" i="8"/>
  <c r="E21" i="8"/>
  <c r="D21" i="8"/>
  <c r="Q20" i="8"/>
  <c r="P20" i="8"/>
  <c r="O20" i="8"/>
  <c r="G19" i="8"/>
  <c r="F18" i="9" s="1"/>
  <c r="F19" i="8"/>
  <c r="E19" i="8"/>
  <c r="D18" i="9" s="1"/>
  <c r="D19" i="8"/>
  <c r="O19" i="8" s="1"/>
  <c r="E18" i="9" s="1"/>
  <c r="Q18" i="8"/>
  <c r="P18" i="8"/>
  <c r="O18" i="8"/>
  <c r="Q17" i="8"/>
  <c r="I17" i="9" s="1"/>
  <c r="P17" i="8"/>
  <c r="G17" i="9" s="1"/>
  <c r="O17" i="8"/>
  <c r="E17" i="9" s="1"/>
  <c r="Q16" i="8"/>
  <c r="I16" i="9" s="1"/>
  <c r="P16" i="8"/>
  <c r="G16" i="9" s="1"/>
  <c r="O16" i="8"/>
  <c r="E16" i="9" s="1"/>
  <c r="J16" i="9"/>
  <c r="H46" i="7"/>
  <c r="F46" i="7"/>
  <c r="D46" i="7"/>
  <c r="H45" i="7"/>
  <c r="F45" i="7"/>
  <c r="D45" i="7"/>
  <c r="H43" i="7"/>
  <c r="F43" i="7"/>
  <c r="D43" i="7"/>
  <c r="H42" i="7"/>
  <c r="F42" i="7"/>
  <c r="D42" i="7"/>
  <c r="E88" i="6"/>
  <c r="G16" i="6" s="1"/>
  <c r="F16" i="7" s="1"/>
  <c r="D88" i="6"/>
  <c r="F16" i="6" s="1"/>
  <c r="Q68" i="6"/>
  <c r="I46" i="7" s="1"/>
  <c r="P68" i="6"/>
  <c r="G46" i="7" s="1"/>
  <c r="O68" i="6"/>
  <c r="E46" i="7" s="1"/>
  <c r="K68" i="6"/>
  <c r="J46" i="7" s="1"/>
  <c r="J68" i="6"/>
  <c r="Q67" i="6"/>
  <c r="I45" i="7" s="1"/>
  <c r="P67" i="6"/>
  <c r="G45" i="7" s="1"/>
  <c r="O67" i="6"/>
  <c r="E45" i="7" s="1"/>
  <c r="K67" i="6"/>
  <c r="J45" i="7" s="1"/>
  <c r="J67" i="6"/>
  <c r="I66" i="6"/>
  <c r="H44" i="7" s="1"/>
  <c r="G66" i="6"/>
  <c r="F44" i="7" s="1"/>
  <c r="F66" i="6"/>
  <c r="E66" i="6"/>
  <c r="D66" i="6"/>
  <c r="Q65" i="6"/>
  <c r="P65" i="6"/>
  <c r="O65" i="6"/>
  <c r="K65" i="6"/>
  <c r="J65" i="6"/>
  <c r="Q64" i="6"/>
  <c r="I43" i="7" s="1"/>
  <c r="P64" i="6"/>
  <c r="G43" i="7" s="1"/>
  <c r="O64" i="6"/>
  <c r="E43" i="7" s="1"/>
  <c r="K64" i="6"/>
  <c r="J64" i="6"/>
  <c r="Q63" i="6"/>
  <c r="I42" i="7" s="1"/>
  <c r="P63" i="6"/>
  <c r="G42" i="7" s="1"/>
  <c r="O63" i="6"/>
  <c r="E42" i="7" s="1"/>
  <c r="K63" i="6"/>
  <c r="J63" i="6"/>
  <c r="O17" i="5"/>
  <c r="E17" i="1" s="1"/>
  <c r="P17" i="5"/>
  <c r="G17" i="1" s="1"/>
  <c r="Q17" i="5"/>
  <c r="I17" i="1" s="1"/>
  <c r="O18" i="5"/>
  <c r="P18" i="5"/>
  <c r="Q18" i="5"/>
  <c r="O20" i="5"/>
  <c r="P20" i="5"/>
  <c r="Q20" i="5"/>
  <c r="O22" i="5"/>
  <c r="P22" i="5"/>
  <c r="Q22" i="5"/>
  <c r="O23" i="5"/>
  <c r="P23" i="5"/>
  <c r="Q23" i="5"/>
  <c r="O25" i="5"/>
  <c r="P25" i="5"/>
  <c r="Q25" i="5"/>
  <c r="O26" i="5"/>
  <c r="P26" i="5"/>
  <c r="Q26" i="5"/>
  <c r="O29" i="5"/>
  <c r="P29" i="5"/>
  <c r="Q29" i="5"/>
  <c r="O30" i="5"/>
  <c r="P30" i="5"/>
  <c r="Q30" i="5"/>
  <c r="P32" i="5"/>
  <c r="Q32" i="5"/>
  <c r="O34" i="5"/>
  <c r="P34" i="5"/>
  <c r="Q34" i="5"/>
  <c r="O37" i="5"/>
  <c r="E27" i="1" s="1"/>
  <c r="P37" i="5"/>
  <c r="G27" i="1" s="1"/>
  <c r="Q37" i="5"/>
  <c r="I27" i="1" s="1"/>
  <c r="O38" i="5"/>
  <c r="P38" i="5"/>
  <c r="Q38" i="5"/>
  <c r="O40" i="5"/>
  <c r="E29" i="1" s="1"/>
  <c r="P40" i="5"/>
  <c r="G29" i="1" s="1"/>
  <c r="Q40" i="5"/>
  <c r="I29" i="1" s="1"/>
  <c r="O41" i="5"/>
  <c r="P41" i="5"/>
  <c r="Q41" i="5"/>
  <c r="O43" i="5"/>
  <c r="P43" i="5"/>
  <c r="Q43" i="5"/>
  <c r="O45" i="5"/>
  <c r="E32" i="1" s="1"/>
  <c r="P45" i="5"/>
  <c r="G32" i="1" s="1"/>
  <c r="Q45" i="5"/>
  <c r="I32" i="1" s="1"/>
  <c r="O46" i="5"/>
  <c r="E33" i="1" s="1"/>
  <c r="P46" i="5"/>
  <c r="G33" i="1" s="1"/>
  <c r="Q46" i="5"/>
  <c r="I33" i="1" s="1"/>
  <c r="O47" i="5"/>
  <c r="P47" i="5"/>
  <c r="Q47" i="5"/>
  <c r="O49" i="5"/>
  <c r="P49" i="5"/>
  <c r="Q49" i="5"/>
  <c r="O50" i="5"/>
  <c r="P50" i="5"/>
  <c r="Q50" i="5"/>
  <c r="O52" i="5"/>
  <c r="P52" i="5"/>
  <c r="Q52" i="5"/>
  <c r="O55" i="5"/>
  <c r="P55" i="5"/>
  <c r="Q55" i="5"/>
  <c r="O56" i="5"/>
  <c r="P56" i="5"/>
  <c r="Q56" i="5"/>
  <c r="O58" i="5"/>
  <c r="P58" i="5"/>
  <c r="Q58" i="5"/>
  <c r="O60" i="5"/>
  <c r="P60" i="5"/>
  <c r="Q60" i="5"/>
  <c r="K43" i="5"/>
  <c r="J43" i="5"/>
  <c r="G44" i="5"/>
  <c r="F31" i="1" s="1"/>
  <c r="F44" i="5"/>
  <c r="E44" i="5"/>
  <c r="D44" i="5"/>
  <c r="J32" i="5"/>
  <c r="F30" i="9"/>
  <c r="H21" i="9"/>
  <c r="D21" i="9"/>
  <c r="E61" i="5"/>
  <c r="D40" i="1" s="1"/>
  <c r="E53" i="5"/>
  <c r="D35" i="1" s="1"/>
  <c r="E54" i="5"/>
  <c r="D36" i="1" s="1"/>
  <c r="E36" i="5"/>
  <c r="D27" i="5"/>
  <c r="K60" i="5"/>
  <c r="J60" i="5"/>
  <c r="K58" i="5"/>
  <c r="J58" i="5"/>
  <c r="K56" i="5"/>
  <c r="J56" i="5"/>
  <c r="K55" i="5"/>
  <c r="J55" i="5"/>
  <c r="J57" i="5" s="1"/>
  <c r="K52" i="5"/>
  <c r="R52" i="5" s="1"/>
  <c r="J52" i="5"/>
  <c r="J54" i="5" s="1"/>
  <c r="K41" i="5"/>
  <c r="J41" i="5"/>
  <c r="K40" i="5"/>
  <c r="J29" i="1" s="1"/>
  <c r="J40" i="5"/>
  <c r="K38" i="5"/>
  <c r="J38" i="5"/>
  <c r="K37" i="5"/>
  <c r="J37" i="5"/>
  <c r="K34" i="5"/>
  <c r="J34" i="5"/>
  <c r="J36" i="5" s="1"/>
  <c r="K30" i="5"/>
  <c r="J30" i="5"/>
  <c r="K29" i="5"/>
  <c r="K26" i="5"/>
  <c r="J26" i="5"/>
  <c r="R26" i="5" s="1"/>
  <c r="K25" i="5"/>
  <c r="J25" i="5"/>
  <c r="K23" i="5"/>
  <c r="R23" i="5" s="1"/>
  <c r="K22" i="5"/>
  <c r="J23" i="5"/>
  <c r="J24" i="5"/>
  <c r="K20" i="5"/>
  <c r="J20" i="5"/>
  <c r="K18" i="5"/>
  <c r="J18" i="5"/>
  <c r="K17" i="5"/>
  <c r="J17" i="5"/>
  <c r="K16" i="5"/>
  <c r="K67" i="5" s="1"/>
  <c r="J16" i="5"/>
  <c r="J67" i="5" s="1"/>
  <c r="H33" i="1"/>
  <c r="F33" i="1"/>
  <c r="H32" i="1"/>
  <c r="F32" i="1"/>
  <c r="H29" i="1"/>
  <c r="F29" i="1"/>
  <c r="H27" i="1"/>
  <c r="F27" i="1"/>
  <c r="H17" i="1"/>
  <c r="F17" i="1"/>
  <c r="H16" i="1"/>
  <c r="F16" i="1"/>
  <c r="D33" i="1"/>
  <c r="D32" i="1"/>
  <c r="D29" i="1"/>
  <c r="D27" i="1"/>
  <c r="D17" i="1"/>
  <c r="D16" i="1"/>
  <c r="Q16" i="5"/>
  <c r="I16" i="1" s="1"/>
  <c r="P16" i="5"/>
  <c r="G16" i="1" s="1"/>
  <c r="O16" i="5"/>
  <c r="E16" i="1" s="1"/>
  <c r="G61" i="5"/>
  <c r="F40" i="1" s="1"/>
  <c r="F61" i="5"/>
  <c r="D61" i="5"/>
  <c r="G57" i="5"/>
  <c r="F38" i="1" s="1"/>
  <c r="F57" i="5"/>
  <c r="E57" i="5"/>
  <c r="D38" i="1" s="1"/>
  <c r="D57" i="5"/>
  <c r="G54" i="5"/>
  <c r="F54" i="5"/>
  <c r="D54" i="5"/>
  <c r="G53" i="5"/>
  <c r="F53" i="5"/>
  <c r="D53" i="5"/>
  <c r="G48" i="5"/>
  <c r="F34" i="1" s="1"/>
  <c r="F48" i="5"/>
  <c r="P48" i="5" s="1"/>
  <c r="G34" i="1" s="1"/>
  <c r="E48" i="5"/>
  <c r="D34" i="1" s="1"/>
  <c r="D48" i="5"/>
  <c r="D42" i="5"/>
  <c r="G42" i="5"/>
  <c r="F30" i="1" s="1"/>
  <c r="F42" i="5"/>
  <c r="E42" i="5"/>
  <c r="D30" i="1" s="1"/>
  <c r="G39" i="5"/>
  <c r="F28" i="1" s="1"/>
  <c r="F39" i="5"/>
  <c r="E39" i="5"/>
  <c r="D39" i="5"/>
  <c r="I36" i="5"/>
  <c r="H36" i="5"/>
  <c r="G36" i="5"/>
  <c r="F36" i="5"/>
  <c r="D36" i="5"/>
  <c r="G31" i="5"/>
  <c r="F23" i="1" s="1"/>
  <c r="F31" i="5"/>
  <c r="E31" i="5"/>
  <c r="D23" i="1" s="1"/>
  <c r="G27" i="5"/>
  <c r="F21" i="1" s="1"/>
  <c r="F27" i="5"/>
  <c r="E27" i="5"/>
  <c r="D21" i="1" s="1"/>
  <c r="G24" i="5"/>
  <c r="F20" i="1" s="1"/>
  <c r="F24" i="5"/>
  <c r="E24" i="5"/>
  <c r="D20" i="1" s="1"/>
  <c r="D24" i="5"/>
  <c r="G21" i="5"/>
  <c r="F19" i="1" s="1"/>
  <c r="F21" i="5"/>
  <c r="E21" i="5"/>
  <c r="D19" i="1" s="1"/>
  <c r="D21" i="5"/>
  <c r="H18" i="1"/>
  <c r="G19" i="5"/>
  <c r="F19" i="5"/>
  <c r="E19" i="5"/>
  <c r="D18" i="1" s="1"/>
  <c r="D19" i="5"/>
  <c r="K61" i="8"/>
  <c r="J40" i="9" s="1"/>
  <c r="J36" i="8"/>
  <c r="J61" i="8"/>
  <c r="J32" i="9"/>
  <c r="R16" i="8"/>
  <c r="K16" i="9" s="1"/>
  <c r="H36" i="1"/>
  <c r="Q39" i="5"/>
  <c r="I28" i="1" s="1"/>
  <c r="R45" i="5"/>
  <c r="K32" i="1" s="1"/>
  <c r="E16" i="6"/>
  <c r="D16" i="7" s="1"/>
  <c r="I16" i="6"/>
  <c r="H16" i="7" s="1"/>
  <c r="D31" i="1"/>
  <c r="R55" i="8"/>
  <c r="H21" i="1"/>
  <c r="H28" i="1"/>
  <c r="R52" i="8"/>
  <c r="D44" i="7"/>
  <c r="J24" i="8"/>
  <c r="R24" i="8" s="1"/>
  <c r="K20" i="9" s="1"/>
  <c r="R23" i="8"/>
  <c r="J48" i="8"/>
  <c r="R18" i="8"/>
  <c r="J43" i="7"/>
  <c r="R60" i="8"/>
  <c r="P48" i="8"/>
  <c r="G34" i="9" s="1"/>
  <c r="R45" i="8"/>
  <c r="K32" i="9" s="1"/>
  <c r="R37" i="8"/>
  <c r="K27" i="9" s="1"/>
  <c r="K27" i="8"/>
  <c r="J21" i="9" s="1"/>
  <c r="J27" i="8"/>
  <c r="R22" i="8"/>
  <c r="J21" i="8"/>
  <c r="R60" i="5"/>
  <c r="F36" i="1"/>
  <c r="K48" i="5"/>
  <c r="J34" i="1" s="1"/>
  <c r="K61" i="5"/>
  <c r="J40" i="1" s="1"/>
  <c r="K31" i="5"/>
  <c r="J23" i="1" s="1"/>
  <c r="R43" i="8"/>
  <c r="J44" i="8"/>
  <c r="G28" i="5"/>
  <c r="F22" i="1" s="1"/>
  <c r="H18" i="9"/>
  <c r="Q19" i="8"/>
  <c r="I18" i="9" s="1"/>
  <c r="E30" i="6"/>
  <c r="O29" i="8"/>
  <c r="E31" i="8"/>
  <c r="D23" i="9" s="1"/>
  <c r="O32" i="8"/>
  <c r="D31" i="5"/>
  <c r="R20" i="8"/>
  <c r="Q31" i="8"/>
  <c r="I23" i="9" s="1"/>
  <c r="D33" i="6"/>
  <c r="H23" i="9"/>
  <c r="R25" i="8"/>
  <c r="R26" i="8"/>
  <c r="F38" i="9"/>
  <c r="J29" i="5"/>
  <c r="J31" i="5" s="1"/>
  <c r="D30" i="6"/>
  <c r="D32" i="6" s="1"/>
  <c r="P27" i="8"/>
  <c r="G21" i="9" s="1"/>
  <c r="F21" i="9"/>
  <c r="H35" i="9"/>
  <c r="Q53" i="8"/>
  <c r="I35" i="9" s="1"/>
  <c r="R38" i="8"/>
  <c r="R41" i="8"/>
  <c r="J53" i="8"/>
  <c r="O51" i="6"/>
  <c r="J53" i="5"/>
  <c r="R40" i="8"/>
  <c r="K29" i="9" s="1"/>
  <c r="R40" i="5"/>
  <c r="K29" i="1" s="1"/>
  <c r="K16" i="6"/>
  <c r="J16" i="7" s="1"/>
  <c r="O42" i="8"/>
  <c r="E30" i="9" s="1"/>
  <c r="J39" i="8"/>
  <c r="F39" i="10" l="1"/>
  <c r="F43" i="10"/>
  <c r="R69" i="8"/>
  <c r="K46" i="9" s="1"/>
  <c r="J46" i="9"/>
  <c r="R74" i="6"/>
  <c r="K76" i="6"/>
  <c r="R65" i="8"/>
  <c r="K42" i="9" s="1"/>
  <c r="P61" i="8"/>
  <c r="G40" i="9" s="1"/>
  <c r="Q57" i="8"/>
  <c r="I38" i="9" s="1"/>
  <c r="Q61" i="8"/>
  <c r="I40" i="9" s="1"/>
  <c r="H34" i="9"/>
  <c r="R72" i="6"/>
  <c r="K50" i="7" s="1"/>
  <c r="H49" i="6"/>
  <c r="P31" i="8"/>
  <c r="G23" i="9" s="1"/>
  <c r="Q44" i="8"/>
  <c r="I31" i="9" s="1"/>
  <c r="Q76" i="6"/>
  <c r="I52" i="7" s="1"/>
  <c r="P57" i="5"/>
  <c r="G38" i="1" s="1"/>
  <c r="Q61" i="5"/>
  <c r="I40" i="1" s="1"/>
  <c r="Q48" i="5"/>
  <c r="I34" i="1" s="1"/>
  <c r="R43" i="5"/>
  <c r="R41" i="5"/>
  <c r="R30" i="5"/>
  <c r="P24" i="5"/>
  <c r="G20" i="1" s="1"/>
  <c r="P36" i="5"/>
  <c r="G26" i="1" s="1"/>
  <c r="P44" i="5"/>
  <c r="G31" i="1" s="1"/>
  <c r="Q21" i="5"/>
  <c r="I19" i="1" s="1"/>
  <c r="O57" i="5"/>
  <c r="E38" i="1" s="1"/>
  <c r="O53" i="5"/>
  <c r="E35" i="1" s="1"/>
  <c r="K53" i="5"/>
  <c r="J35" i="1" s="1"/>
  <c r="H16" i="6"/>
  <c r="Q16" i="6" s="1"/>
  <c r="I16" i="7" s="1"/>
  <c r="D16" i="6"/>
  <c r="R77" i="6"/>
  <c r="K53" i="7" s="1"/>
  <c r="R65" i="5"/>
  <c r="K42" i="1" s="1"/>
  <c r="H40" i="6"/>
  <c r="O61" i="8"/>
  <c r="E40" i="9" s="1"/>
  <c r="E58" i="6"/>
  <c r="D39" i="7" s="1"/>
  <c r="K57" i="5"/>
  <c r="R57" i="5" s="1"/>
  <c r="K38" i="1" s="1"/>
  <c r="R58" i="5"/>
  <c r="J48" i="5"/>
  <c r="R48" i="5" s="1"/>
  <c r="K34" i="1" s="1"/>
  <c r="O24" i="8"/>
  <c r="E20" i="9" s="1"/>
  <c r="D20" i="9"/>
  <c r="O39" i="8"/>
  <c r="E28" i="9" s="1"/>
  <c r="R25" i="5"/>
  <c r="R20" i="5"/>
  <c r="O21" i="5"/>
  <c r="E19" i="1" s="1"/>
  <c r="O24" i="5"/>
  <c r="E20" i="1" s="1"/>
  <c r="J17" i="1"/>
  <c r="K69" i="5"/>
  <c r="J46" i="1" s="1"/>
  <c r="O19" i="5"/>
  <c r="E18" i="1" s="1"/>
  <c r="J42" i="5"/>
  <c r="J69" i="5"/>
  <c r="O44" i="5"/>
  <c r="E31" i="1" s="1"/>
  <c r="O39" i="5"/>
  <c r="E28" i="1" s="1"/>
  <c r="R68" i="6"/>
  <c r="K46" i="7" s="1"/>
  <c r="J76" i="6"/>
  <c r="D18" i="7"/>
  <c r="P76" i="6"/>
  <c r="G52" i="7" s="1"/>
  <c r="R75" i="6"/>
  <c r="H18" i="7"/>
  <c r="I80" i="6"/>
  <c r="J52" i="7"/>
  <c r="E32" i="6"/>
  <c r="D24" i="7" s="1"/>
  <c r="D17" i="7"/>
  <c r="E78" i="6"/>
  <c r="J55" i="7"/>
  <c r="R79" i="6"/>
  <c r="K55" i="7" s="1"/>
  <c r="R64" i="6"/>
  <c r="K43" i="7" s="1"/>
  <c r="J66" i="6"/>
  <c r="H54" i="7"/>
  <c r="Q78" i="6"/>
  <c r="I54" i="7" s="1"/>
  <c r="D56" i="7"/>
  <c r="O80" i="6"/>
  <c r="E56" i="7" s="1"/>
  <c r="D52" i="7"/>
  <c r="O76" i="6"/>
  <c r="E52" i="7" s="1"/>
  <c r="F40" i="9"/>
  <c r="R57" i="8"/>
  <c r="K38" i="9" s="1"/>
  <c r="P24" i="8"/>
  <c r="G20" i="9" s="1"/>
  <c r="P19" i="8"/>
  <c r="G18" i="9" s="1"/>
  <c r="J51" i="7"/>
  <c r="R73" i="6"/>
  <c r="K51" i="7" s="1"/>
  <c r="P61" i="5"/>
  <c r="G40" i="1" s="1"/>
  <c r="J61" i="5"/>
  <c r="R55" i="5"/>
  <c r="K54" i="5"/>
  <c r="J36" i="1" s="1"/>
  <c r="R50" i="5"/>
  <c r="R61" i="5"/>
  <c r="K40" i="1" s="1"/>
  <c r="R37" i="5"/>
  <c r="K27" i="1" s="1"/>
  <c r="P31" i="5"/>
  <c r="G23" i="1" s="1"/>
  <c r="K27" i="5"/>
  <c r="J21" i="1" s="1"/>
  <c r="P27" i="5"/>
  <c r="G21" i="1" s="1"/>
  <c r="K24" i="5"/>
  <c r="P19" i="5"/>
  <c r="G18" i="1" s="1"/>
  <c r="J21" i="5"/>
  <c r="F18" i="1"/>
  <c r="J19" i="5"/>
  <c r="J16" i="6"/>
  <c r="R16" i="6" s="1"/>
  <c r="K16" i="7" s="1"/>
  <c r="F17" i="7"/>
  <c r="G78" i="6"/>
  <c r="P39" i="5"/>
  <c r="G28" i="1" s="1"/>
  <c r="J16" i="1"/>
  <c r="P42" i="5"/>
  <c r="G30" i="1" s="1"/>
  <c r="K36" i="5"/>
  <c r="J26" i="1" s="1"/>
  <c r="J44" i="5"/>
  <c r="J44" i="1"/>
  <c r="R67" i="5"/>
  <c r="K44" i="1" s="1"/>
  <c r="R16" i="5"/>
  <c r="K16" i="1" s="1"/>
  <c r="F18" i="7"/>
  <c r="G80" i="6"/>
  <c r="R67" i="6"/>
  <c r="K45" i="7" s="1"/>
  <c r="R61" i="8"/>
  <c r="K40" i="9" s="1"/>
  <c r="O57" i="8"/>
  <c r="E38" i="9" s="1"/>
  <c r="H38" i="9"/>
  <c r="P53" i="8"/>
  <c r="G35" i="9" s="1"/>
  <c r="D40" i="9"/>
  <c r="O48" i="8"/>
  <c r="E34" i="9" s="1"/>
  <c r="D34" i="9"/>
  <c r="F45" i="6"/>
  <c r="O44" i="6"/>
  <c r="P39" i="8"/>
  <c r="G28" i="9" s="1"/>
  <c r="P36" i="8"/>
  <c r="G26" i="9" s="1"/>
  <c r="O31" i="8"/>
  <c r="E23" i="9" s="1"/>
  <c r="R27" i="8"/>
  <c r="K21" i="9" s="1"/>
  <c r="P44" i="8"/>
  <c r="G31" i="9" s="1"/>
  <c r="P42" i="8"/>
  <c r="G30" i="9" s="1"/>
  <c r="Q36" i="8"/>
  <c r="I26" i="9" s="1"/>
  <c r="Q21" i="8"/>
  <c r="I19" i="9" s="1"/>
  <c r="Q39" i="8"/>
  <c r="I28" i="9" s="1"/>
  <c r="O61" i="5"/>
  <c r="E40" i="1" s="1"/>
  <c r="Q57" i="5"/>
  <c r="I38" i="1" s="1"/>
  <c r="D58" i="6"/>
  <c r="Q57" i="6"/>
  <c r="P54" i="5"/>
  <c r="G36" i="1" s="1"/>
  <c r="O54" i="5"/>
  <c r="E36" i="1" s="1"/>
  <c r="O48" i="5"/>
  <c r="E34" i="1" s="1"/>
  <c r="Q42" i="5"/>
  <c r="I30" i="1" s="1"/>
  <c r="J27" i="1"/>
  <c r="D28" i="1"/>
  <c r="R34" i="5"/>
  <c r="R31" i="5"/>
  <c r="K23" i="1" s="1"/>
  <c r="R29" i="5"/>
  <c r="O31" i="5"/>
  <c r="E23" i="1" s="1"/>
  <c r="Q27" i="6"/>
  <c r="J27" i="5"/>
  <c r="R22" i="5"/>
  <c r="P21" i="5"/>
  <c r="G19" i="1" s="1"/>
  <c r="K42" i="5"/>
  <c r="J30" i="1" s="1"/>
  <c r="K19" i="5"/>
  <c r="R18" i="5"/>
  <c r="E45" i="6"/>
  <c r="D32" i="7" s="1"/>
  <c r="K44" i="5"/>
  <c r="K39" i="5"/>
  <c r="J28" i="1" s="1"/>
  <c r="K21" i="5"/>
  <c r="J19" i="1" s="1"/>
  <c r="O42" i="5"/>
  <c r="E30" i="1" s="1"/>
  <c r="R17" i="5"/>
  <c r="K17" i="1" s="1"/>
  <c r="F26" i="1"/>
  <c r="P66" i="6"/>
  <c r="G44" i="7" s="1"/>
  <c r="K66" i="6"/>
  <c r="R65" i="6"/>
  <c r="I20" i="6"/>
  <c r="H19" i="7" s="1"/>
  <c r="P21" i="6"/>
  <c r="I25" i="6"/>
  <c r="H21" i="7" s="1"/>
  <c r="E28" i="6"/>
  <c r="D22" i="7" s="1"/>
  <c r="I32" i="6"/>
  <c r="H24" i="7" s="1"/>
  <c r="G37" i="6"/>
  <c r="F27" i="7" s="1"/>
  <c r="J38" i="6"/>
  <c r="E43" i="6"/>
  <c r="D31" i="7" s="1"/>
  <c r="H20" i="6"/>
  <c r="F49" i="6"/>
  <c r="E54" i="6"/>
  <c r="D36" i="7" s="1"/>
  <c r="J53" i="6"/>
  <c r="H58" i="6"/>
  <c r="J59" i="6"/>
  <c r="Q66" i="6"/>
  <c r="I44" i="7" s="1"/>
  <c r="J41" i="6"/>
  <c r="P46" i="6"/>
  <c r="G33" i="7" s="1"/>
  <c r="D25" i="6"/>
  <c r="J31" i="6"/>
  <c r="O56" i="6"/>
  <c r="O18" i="6"/>
  <c r="E18" i="7" s="1"/>
  <c r="E20" i="6"/>
  <c r="D19" i="7" s="1"/>
  <c r="K23" i="6"/>
  <c r="Q23" i="6"/>
  <c r="P24" i="6"/>
  <c r="O26" i="6"/>
  <c r="Q33" i="6"/>
  <c r="I40" i="6"/>
  <c r="H29" i="7" s="1"/>
  <c r="Q46" i="6"/>
  <c r="I33" i="7" s="1"/>
  <c r="Q48" i="6"/>
  <c r="P50" i="6"/>
  <c r="F54" i="6"/>
  <c r="P61" i="6"/>
  <c r="G40" i="6"/>
  <c r="F29" i="7" s="1"/>
  <c r="G43" i="6"/>
  <c r="F31" i="7" s="1"/>
  <c r="K30" i="6"/>
  <c r="G22" i="6"/>
  <c r="F20" i="7" s="1"/>
  <c r="Q19" i="6"/>
  <c r="I22" i="6"/>
  <c r="H20" i="7" s="1"/>
  <c r="G25" i="6"/>
  <c r="F21" i="7" s="1"/>
  <c r="D28" i="6"/>
  <c r="Q38" i="6"/>
  <c r="I28" i="7" s="1"/>
  <c r="K51" i="6"/>
  <c r="J33" i="6"/>
  <c r="F33" i="7"/>
  <c r="J19" i="6"/>
  <c r="O24" i="6"/>
  <c r="K26" i="6"/>
  <c r="I28" i="6"/>
  <c r="Q30" i="6"/>
  <c r="F37" i="6"/>
  <c r="I37" i="6"/>
  <c r="H27" i="7" s="1"/>
  <c r="P38" i="6"/>
  <c r="G28" i="7" s="1"/>
  <c r="H37" i="6"/>
  <c r="G20" i="6"/>
  <c r="F19" i="7" s="1"/>
  <c r="H28" i="6"/>
  <c r="K31" i="6"/>
  <c r="P42" i="6"/>
  <c r="I43" i="6"/>
  <c r="H31" i="7" s="1"/>
  <c r="D49" i="6"/>
  <c r="Q51" i="6"/>
  <c r="I58" i="6"/>
  <c r="H39" i="7" s="1"/>
  <c r="P57" i="6"/>
  <c r="O59" i="6"/>
  <c r="Q59" i="6"/>
  <c r="D37" i="6"/>
  <c r="O47" i="6"/>
  <c r="E34" i="7" s="1"/>
  <c r="P17" i="6"/>
  <c r="G17" i="7" s="1"/>
  <c r="P39" i="6"/>
  <c r="Q41" i="6"/>
  <c r="I30" i="7" s="1"/>
  <c r="H45" i="6"/>
  <c r="K61" i="6"/>
  <c r="O41" i="6"/>
  <c r="E30" i="7" s="1"/>
  <c r="P51" i="6"/>
  <c r="P47" i="6"/>
  <c r="G34" i="7" s="1"/>
  <c r="K21" i="6"/>
  <c r="O48" i="6"/>
  <c r="K24" i="6"/>
  <c r="E62" i="6"/>
  <c r="D41" i="7" s="1"/>
  <c r="O46" i="6"/>
  <c r="E33" i="7" s="1"/>
  <c r="D22" i="6"/>
  <c r="O22" i="6" s="1"/>
  <c r="E20" i="7" s="1"/>
  <c r="O23" i="6"/>
  <c r="G45" i="6"/>
  <c r="F32" i="7" s="1"/>
  <c r="K19" i="6"/>
  <c r="Q26" i="6"/>
  <c r="P27" i="6"/>
  <c r="P30" i="6"/>
  <c r="Q47" i="6"/>
  <c r="I34" i="7" s="1"/>
  <c r="K48" i="6"/>
  <c r="J50" i="6"/>
  <c r="Q50" i="6"/>
  <c r="H54" i="6"/>
  <c r="Q53" i="6"/>
  <c r="G58" i="6"/>
  <c r="F39" i="7" s="1"/>
  <c r="J57" i="6"/>
  <c r="K41" i="6"/>
  <c r="P19" i="6"/>
  <c r="K46" i="6"/>
  <c r="J33" i="7" s="1"/>
  <c r="E25" i="6"/>
  <c r="D21" i="7" s="1"/>
  <c r="J30" i="6"/>
  <c r="P31" i="6"/>
  <c r="P33" i="6"/>
  <c r="K57" i="6"/>
  <c r="O30" i="6"/>
  <c r="D43" i="6"/>
  <c r="O38" i="6"/>
  <c r="E28" i="7" s="1"/>
  <c r="K18" i="6"/>
  <c r="F28" i="7"/>
  <c r="P41" i="6"/>
  <c r="G30" i="7" s="1"/>
  <c r="F20" i="6"/>
  <c r="O35" i="6"/>
  <c r="O31" i="6"/>
  <c r="Q18" i="6"/>
  <c r="I18" i="7" s="1"/>
  <c r="O19" i="6"/>
  <c r="O21" i="6"/>
  <c r="F25" i="6"/>
  <c r="J26" i="6"/>
  <c r="J27" i="6"/>
  <c r="H28" i="7"/>
  <c r="E40" i="6"/>
  <c r="D29" i="7" s="1"/>
  <c r="Q39" i="6"/>
  <c r="O42" i="6"/>
  <c r="H43" i="6"/>
  <c r="P44" i="6"/>
  <c r="K44" i="6"/>
  <c r="J46" i="6"/>
  <c r="J51" i="6"/>
  <c r="J21" i="6"/>
  <c r="O27" i="6"/>
  <c r="O57" i="6"/>
  <c r="P16" i="6"/>
  <c r="G16" i="7" s="1"/>
  <c r="I45" i="6"/>
  <c r="J42" i="6"/>
  <c r="P35" i="6"/>
  <c r="P48" i="6"/>
  <c r="G49" i="6"/>
  <c r="F35" i="7" s="1"/>
  <c r="K27" i="6"/>
  <c r="J18" i="6"/>
  <c r="F32" i="6"/>
  <c r="Q44" i="6"/>
  <c r="D20" i="6"/>
  <c r="E49" i="6"/>
  <c r="D35" i="7" s="1"/>
  <c r="J17" i="6"/>
  <c r="J78" i="6" s="1"/>
  <c r="K35" i="6"/>
  <c r="J61" i="6"/>
  <c r="O16" i="6"/>
  <c r="E16" i="7" s="1"/>
  <c r="J44" i="6"/>
  <c r="J35" i="6"/>
  <c r="K39" i="6"/>
  <c r="D54" i="6"/>
  <c r="P23" i="6"/>
  <c r="F28" i="6"/>
  <c r="G28" i="6"/>
  <c r="D45" i="6"/>
  <c r="O45" i="6" s="1"/>
  <c r="E32" i="7" s="1"/>
  <c r="Q35" i="6"/>
  <c r="I54" i="6"/>
  <c r="I55" i="6"/>
  <c r="Q55" i="6" s="1"/>
  <c r="I37" i="7" s="1"/>
  <c r="J23" i="6"/>
  <c r="K42" i="6"/>
  <c r="J48" i="6"/>
  <c r="K56" i="6"/>
  <c r="G32" i="6"/>
  <c r="K38" i="6"/>
  <c r="J47" i="6"/>
  <c r="Q56" i="6"/>
  <c r="R46" i="5"/>
  <c r="K33" i="1" s="1"/>
  <c r="R34" i="8"/>
  <c r="K36" i="8"/>
  <c r="J33" i="9"/>
  <c r="R46" i="8"/>
  <c r="K33" i="9" s="1"/>
  <c r="D40" i="6"/>
  <c r="J39" i="6"/>
  <c r="G55" i="6"/>
  <c r="P53" i="6"/>
  <c r="K53" i="6"/>
  <c r="J56" i="6"/>
  <c r="F58" i="6"/>
  <c r="P56" i="6"/>
  <c r="P59" i="6"/>
  <c r="K59" i="6"/>
  <c r="Q61" i="6"/>
  <c r="H62" i="6"/>
  <c r="F51" i="5"/>
  <c r="F33" i="5"/>
  <c r="G51" i="5"/>
  <c r="I28" i="5"/>
  <c r="H33" i="5"/>
  <c r="H51" i="5"/>
  <c r="D59" i="5"/>
  <c r="G59" i="5"/>
  <c r="F28" i="5"/>
  <c r="P28" i="5" s="1"/>
  <c r="G22" i="1" s="1"/>
  <c r="K51" i="5"/>
  <c r="M7" i="8"/>
  <c r="J33" i="8" s="1"/>
  <c r="H28" i="5"/>
  <c r="E51" i="5"/>
  <c r="D35" i="5"/>
  <c r="I35" i="5"/>
  <c r="G33" i="5"/>
  <c r="I33" i="5"/>
  <c r="M7" i="6"/>
  <c r="G60" i="6" s="1"/>
  <c r="H35" i="5"/>
  <c r="D51" i="5"/>
  <c r="D28" i="5"/>
  <c r="E28" i="5"/>
  <c r="E59" i="5"/>
  <c r="D33" i="5"/>
  <c r="K59" i="5"/>
  <c r="J35" i="5"/>
  <c r="K35" i="5"/>
  <c r="H59" i="5"/>
  <c r="I51" i="5"/>
  <c r="I59" i="5"/>
  <c r="J28" i="5"/>
  <c r="F59" i="5"/>
  <c r="J59" i="5"/>
  <c r="J51" i="5"/>
  <c r="O32" i="5"/>
  <c r="K32" i="5"/>
  <c r="E33" i="6"/>
  <c r="E33" i="5"/>
  <c r="O39" i="6"/>
  <c r="G35" i="5"/>
  <c r="R30" i="8"/>
  <c r="K31" i="8"/>
  <c r="R29" i="8"/>
  <c r="J17" i="9"/>
  <c r="K44" i="8"/>
  <c r="K19" i="8"/>
  <c r="R17" i="8"/>
  <c r="K17" i="9" s="1"/>
  <c r="K39" i="8"/>
  <c r="K21" i="8"/>
  <c r="K42" i="8"/>
  <c r="K48" i="8"/>
  <c r="R47" i="8"/>
  <c r="O61" i="6"/>
  <c r="D62" i="6"/>
  <c r="F35" i="5"/>
  <c r="K28" i="5"/>
  <c r="J33" i="5"/>
  <c r="F19" i="9"/>
  <c r="P21" i="8"/>
  <c r="G19" i="9" s="1"/>
  <c r="E55" i="6"/>
  <c r="O50" i="6"/>
  <c r="K50" i="6"/>
  <c r="D55" i="6"/>
  <c r="O53" i="6"/>
  <c r="H20" i="9"/>
  <c r="Q24" i="8"/>
  <c r="I20" i="9" s="1"/>
  <c r="R38" i="5"/>
  <c r="J39" i="5"/>
  <c r="K53" i="8"/>
  <c r="K54" i="8"/>
  <c r="R49" i="8"/>
  <c r="H22" i="6"/>
  <c r="Q21" i="6"/>
  <c r="H25" i="6"/>
  <c r="Q24" i="6"/>
  <c r="J24" i="6"/>
  <c r="I49" i="6"/>
  <c r="K47" i="6"/>
  <c r="F22" i="7"/>
  <c r="J42" i="8"/>
  <c r="J19" i="8"/>
  <c r="Q54" i="8"/>
  <c r="I36" i="9" s="1"/>
  <c r="H36" i="9"/>
  <c r="K17" i="6"/>
  <c r="K78" i="6" s="1"/>
  <c r="O17" i="6"/>
  <c r="E17" i="7" s="1"/>
  <c r="E37" i="6"/>
  <c r="F40" i="6"/>
  <c r="F43" i="6"/>
  <c r="P18" i="6"/>
  <c r="G18" i="7" s="1"/>
  <c r="F22" i="6"/>
  <c r="Q53" i="5"/>
  <c r="I35" i="1" s="1"/>
  <c r="H35" i="1"/>
  <c r="O27" i="5"/>
  <c r="E21" i="1" s="1"/>
  <c r="F35" i="1"/>
  <c r="P53" i="5"/>
  <c r="G35" i="1" s="1"/>
  <c r="D26" i="1"/>
  <c r="O36" i="5"/>
  <c r="E26" i="1" s="1"/>
  <c r="R63" i="6"/>
  <c r="K42" i="7" s="1"/>
  <c r="J42" i="7"/>
  <c r="O66" i="6"/>
  <c r="E44" i="7" s="1"/>
  <c r="D19" i="9"/>
  <c r="O21" i="8"/>
  <c r="E19" i="9" s="1"/>
  <c r="O53" i="8"/>
  <c r="E35" i="9" s="1"/>
  <c r="D35" i="9"/>
  <c r="H26" i="9"/>
  <c r="P26" i="6"/>
  <c r="Q31" i="6"/>
  <c r="H32" i="6"/>
  <c r="I62" i="6"/>
  <c r="H33" i="7"/>
  <c r="H26" i="1"/>
  <c r="Q36" i="5"/>
  <c r="I26" i="1" s="1"/>
  <c r="O36" i="8"/>
  <c r="E26" i="9" s="1"/>
  <c r="D26" i="9"/>
  <c r="H17" i="7"/>
  <c r="Q17" i="6"/>
  <c r="I17" i="7" s="1"/>
  <c r="F62" i="6"/>
  <c r="R56" i="5"/>
  <c r="O54" i="8"/>
  <c r="E36" i="9" s="1"/>
  <c r="D36" i="9"/>
  <c r="R56" i="8"/>
  <c r="G54" i="6"/>
  <c r="G62" i="6"/>
  <c r="R76" i="6" l="1"/>
  <c r="K52" i="7" s="1"/>
  <c r="R69" i="5"/>
  <c r="K46" i="1" s="1"/>
  <c r="R36" i="5"/>
  <c r="K26" i="1" s="1"/>
  <c r="R27" i="5"/>
  <c r="K21" i="1" s="1"/>
  <c r="J38" i="1"/>
  <c r="R53" i="5"/>
  <c r="K35" i="1" s="1"/>
  <c r="Q58" i="6"/>
  <c r="I39" i="7" s="1"/>
  <c r="O58" i="6"/>
  <c r="E39" i="7" s="1"/>
  <c r="O54" i="6"/>
  <c r="E36" i="7" s="1"/>
  <c r="O32" i="6"/>
  <c r="E24" i="7" s="1"/>
  <c r="Q40" i="6"/>
  <c r="I29" i="7" s="1"/>
  <c r="D54" i="7"/>
  <c r="O78" i="6"/>
  <c r="E54" i="7" s="1"/>
  <c r="R48" i="6"/>
  <c r="H56" i="7"/>
  <c r="Q80" i="6"/>
  <c r="I56" i="7" s="1"/>
  <c r="P25" i="6"/>
  <c r="G21" i="7" s="1"/>
  <c r="P58" i="6"/>
  <c r="G39" i="7" s="1"/>
  <c r="R54" i="5"/>
  <c r="K36" i="1" s="1"/>
  <c r="K32" i="6"/>
  <c r="J24" i="7" s="1"/>
  <c r="K28" i="6"/>
  <c r="J22" i="7" s="1"/>
  <c r="J20" i="1"/>
  <c r="R24" i="5"/>
  <c r="K20" i="1" s="1"/>
  <c r="R21" i="5"/>
  <c r="K19" i="1" s="1"/>
  <c r="P78" i="6"/>
  <c r="G54" i="7" s="1"/>
  <c r="F54" i="7"/>
  <c r="J18" i="7"/>
  <c r="K80" i="6"/>
  <c r="P80" i="6"/>
  <c r="G56" i="7" s="1"/>
  <c r="F56" i="7"/>
  <c r="R18" i="6"/>
  <c r="K18" i="7" s="1"/>
  <c r="J80" i="6"/>
  <c r="J54" i="7"/>
  <c r="R78" i="6"/>
  <c r="K54" i="7" s="1"/>
  <c r="P37" i="6"/>
  <c r="G27" i="7" s="1"/>
  <c r="Q37" i="6"/>
  <c r="I27" i="7" s="1"/>
  <c r="Q32" i="6"/>
  <c r="I24" i="7" s="1"/>
  <c r="O28" i="6"/>
  <c r="E22" i="7" s="1"/>
  <c r="Q25" i="6"/>
  <c r="I21" i="7" s="1"/>
  <c r="P40" i="6"/>
  <c r="G29" i="7" s="1"/>
  <c r="O62" i="6"/>
  <c r="E41" i="7" s="1"/>
  <c r="J55" i="6"/>
  <c r="R53" i="6"/>
  <c r="O43" i="6"/>
  <c r="E31" i="7" s="1"/>
  <c r="R42" i="5"/>
  <c r="K30" i="1" s="1"/>
  <c r="P28" i="6"/>
  <c r="G22" i="7" s="1"/>
  <c r="R26" i="6"/>
  <c r="Q28" i="6"/>
  <c r="I22" i="7" s="1"/>
  <c r="R39" i="5"/>
  <c r="K28" i="1" s="1"/>
  <c r="J31" i="1"/>
  <c r="R44" i="5"/>
  <c r="K31" i="1" s="1"/>
  <c r="J18" i="1"/>
  <c r="R19" i="5"/>
  <c r="K18" i="1" s="1"/>
  <c r="P22" i="6"/>
  <c r="G20" i="7" s="1"/>
  <c r="K40" i="6"/>
  <c r="J29" i="7" s="1"/>
  <c r="O20" i="6"/>
  <c r="E19" i="7" s="1"/>
  <c r="Q20" i="6"/>
  <c r="I19" i="7" s="1"/>
  <c r="K45" i="6"/>
  <c r="J32" i="7" s="1"/>
  <c r="R66" i="6"/>
  <c r="K44" i="7" s="1"/>
  <c r="J44" i="7"/>
  <c r="H22" i="7"/>
  <c r="R23" i="6"/>
  <c r="R51" i="6"/>
  <c r="J32" i="6"/>
  <c r="R32" i="6" s="1"/>
  <c r="K24" i="7" s="1"/>
  <c r="R31" i="6"/>
  <c r="J34" i="6"/>
  <c r="J28" i="6"/>
  <c r="K25" i="6"/>
  <c r="J21" i="7" s="1"/>
  <c r="P43" i="6"/>
  <c r="G31" i="7" s="1"/>
  <c r="Q22" i="6"/>
  <c r="I20" i="7" s="1"/>
  <c r="K58" i="6"/>
  <c r="J39" i="7" s="1"/>
  <c r="R61" i="6"/>
  <c r="R27" i="6"/>
  <c r="R57" i="6"/>
  <c r="P20" i="6"/>
  <c r="G19" i="7" s="1"/>
  <c r="P49" i="6"/>
  <c r="G35" i="7" s="1"/>
  <c r="Q43" i="6"/>
  <c r="I31" i="7" s="1"/>
  <c r="P45" i="6"/>
  <c r="G32" i="7" s="1"/>
  <c r="K36" i="6"/>
  <c r="J26" i="7" s="1"/>
  <c r="O25" i="6"/>
  <c r="E21" i="7" s="1"/>
  <c r="R30" i="6"/>
  <c r="K20" i="6"/>
  <c r="J19" i="7" s="1"/>
  <c r="K22" i="6"/>
  <c r="J20" i="7" s="1"/>
  <c r="K62" i="6"/>
  <c r="J41" i="7" s="1"/>
  <c r="J22" i="6"/>
  <c r="O40" i="6"/>
  <c r="E29" i="7" s="1"/>
  <c r="J36" i="6"/>
  <c r="R36" i="6" s="1"/>
  <c r="K26" i="7" s="1"/>
  <c r="J43" i="6"/>
  <c r="J54" i="6"/>
  <c r="J30" i="7"/>
  <c r="R41" i="6"/>
  <c r="K30" i="7" s="1"/>
  <c r="H37" i="7"/>
  <c r="R35" i="6"/>
  <c r="R19" i="6"/>
  <c r="R46" i="6"/>
  <c r="K33" i="7" s="1"/>
  <c r="R21" i="6"/>
  <c r="J37" i="6"/>
  <c r="J62" i="6"/>
  <c r="J28" i="7"/>
  <c r="R38" i="6"/>
  <c r="K28" i="7" s="1"/>
  <c r="J20" i="6"/>
  <c r="P32" i="6"/>
  <c r="G24" i="7" s="1"/>
  <c r="F24" i="7"/>
  <c r="R42" i="6"/>
  <c r="K43" i="6"/>
  <c r="H36" i="7"/>
  <c r="Q54" i="6"/>
  <c r="I36" i="7" s="1"/>
  <c r="O49" i="6"/>
  <c r="E35" i="7" s="1"/>
  <c r="J49" i="6"/>
  <c r="J45" i="6"/>
  <c r="Q45" i="6"/>
  <c r="I32" i="7" s="1"/>
  <c r="H32" i="7"/>
  <c r="R44" i="6"/>
  <c r="Q62" i="6"/>
  <c r="I41" i="7" s="1"/>
  <c r="H41" i="7"/>
  <c r="O37" i="6"/>
  <c r="E27" i="7" s="1"/>
  <c r="D27" i="7"/>
  <c r="H35" i="7"/>
  <c r="Q49" i="6"/>
  <c r="I35" i="7" s="1"/>
  <c r="J36" i="9"/>
  <c r="R54" i="8"/>
  <c r="K36" i="9" s="1"/>
  <c r="J22" i="1"/>
  <c r="R28" i="5"/>
  <c r="K22" i="1" s="1"/>
  <c r="J30" i="9"/>
  <c r="R42" i="8"/>
  <c r="K30" i="9" s="1"/>
  <c r="J18" i="9"/>
  <c r="R19" i="8"/>
  <c r="K18" i="9" s="1"/>
  <c r="K33" i="5"/>
  <c r="R32" i="5"/>
  <c r="P33" i="5"/>
  <c r="G24" i="1" s="1"/>
  <c r="F24" i="1"/>
  <c r="O35" i="5"/>
  <c r="E25" i="1" s="1"/>
  <c r="D25" i="1"/>
  <c r="K60" i="6"/>
  <c r="R59" i="6"/>
  <c r="R56" i="6"/>
  <c r="J58" i="6"/>
  <c r="J40" i="6"/>
  <c r="R39" i="6"/>
  <c r="J35" i="9"/>
  <c r="R53" i="8"/>
  <c r="K35" i="9" s="1"/>
  <c r="R50" i="6"/>
  <c r="K55" i="6"/>
  <c r="K54" i="6"/>
  <c r="J19" i="9"/>
  <c r="R21" i="8"/>
  <c r="K19" i="9" s="1"/>
  <c r="J31" i="9"/>
  <c r="R44" i="8"/>
  <c r="K31" i="9" s="1"/>
  <c r="J25" i="1"/>
  <c r="R35" i="5"/>
  <c r="K25" i="1" s="1"/>
  <c r="D39" i="1"/>
  <c r="O59" i="5"/>
  <c r="E39" i="1" s="1"/>
  <c r="H25" i="1"/>
  <c r="Q35" i="5"/>
  <c r="I25" i="1" s="1"/>
  <c r="P59" i="5"/>
  <c r="G39" i="1" s="1"/>
  <c r="F39" i="1"/>
  <c r="Q28" i="5"/>
  <c r="I22" i="1" s="1"/>
  <c r="H22" i="1"/>
  <c r="J26" i="9"/>
  <c r="R36" i="8"/>
  <c r="K26" i="9" s="1"/>
  <c r="F41" i="7"/>
  <c r="P62" i="6"/>
  <c r="G41" i="7" s="1"/>
  <c r="R17" i="6"/>
  <c r="K17" i="7" s="1"/>
  <c r="J17" i="7"/>
  <c r="R24" i="6"/>
  <c r="J25" i="6"/>
  <c r="J28" i="9"/>
  <c r="R39" i="8"/>
  <c r="K28" i="9" s="1"/>
  <c r="D24" i="1"/>
  <c r="O33" i="5"/>
  <c r="E24" i="1" s="1"/>
  <c r="Q59" i="5"/>
  <c r="I39" i="1" s="1"/>
  <c r="H39" i="1"/>
  <c r="O28" i="5"/>
  <c r="E22" i="1" s="1"/>
  <c r="D22" i="1"/>
  <c r="H34" i="6"/>
  <c r="E52" i="6"/>
  <c r="H52" i="6"/>
  <c r="F29" i="6"/>
  <c r="F60" i="6"/>
  <c r="P60" i="6" s="1"/>
  <c r="G40" i="7" s="1"/>
  <c r="G29" i="6"/>
  <c r="G52" i="6"/>
  <c r="H29" i="6"/>
  <c r="F34" i="6"/>
  <c r="D52" i="6"/>
  <c r="F36" i="6"/>
  <c r="E36" i="6"/>
  <c r="I60" i="6"/>
  <c r="H36" i="6"/>
  <c r="D29" i="6"/>
  <c r="K52" i="6"/>
  <c r="D34" i="6"/>
  <c r="I36" i="6"/>
  <c r="F52" i="6"/>
  <c r="H60" i="6"/>
  <c r="D36" i="6"/>
  <c r="E29" i="6"/>
  <c r="K29" i="6"/>
  <c r="I52" i="6"/>
  <c r="I34" i="6"/>
  <c r="D60" i="6"/>
  <c r="G34" i="6"/>
  <c r="J60" i="6"/>
  <c r="J52" i="6"/>
  <c r="E60" i="6"/>
  <c r="J29" i="6"/>
  <c r="I29" i="6"/>
  <c r="G36" i="6"/>
  <c r="I28" i="8"/>
  <c r="H28" i="8"/>
  <c r="J59" i="8"/>
  <c r="G51" i="8"/>
  <c r="E59" i="8"/>
  <c r="D33" i="8"/>
  <c r="I33" i="8"/>
  <c r="I59" i="8"/>
  <c r="I35" i="8"/>
  <c r="F33" i="8"/>
  <c r="F51" i="8"/>
  <c r="F35" i="8"/>
  <c r="G35" i="8"/>
  <c r="I51" i="8"/>
  <c r="F59" i="8"/>
  <c r="K28" i="8"/>
  <c r="H59" i="8"/>
  <c r="J35" i="8"/>
  <c r="H35" i="8"/>
  <c r="G28" i="8"/>
  <c r="E35" i="8"/>
  <c r="H51" i="8"/>
  <c r="D51" i="8"/>
  <c r="J51" i="8"/>
  <c r="G59" i="8"/>
  <c r="K33" i="8"/>
  <c r="D28" i="8"/>
  <c r="K51" i="8"/>
  <c r="E33" i="8"/>
  <c r="F28" i="8"/>
  <c r="G33" i="8"/>
  <c r="J28" i="8"/>
  <c r="E51" i="8"/>
  <c r="H33" i="8"/>
  <c r="K59" i="8"/>
  <c r="D35" i="8"/>
  <c r="D59" i="8"/>
  <c r="E28" i="8"/>
  <c r="F37" i="1"/>
  <c r="P51" i="5"/>
  <c r="G37" i="1" s="1"/>
  <c r="K37" i="6"/>
  <c r="K35" i="8"/>
  <c r="F36" i="7"/>
  <c r="P54" i="6"/>
  <c r="G36" i="7" s="1"/>
  <c r="J34" i="7"/>
  <c r="R47" i="6"/>
  <c r="K34" i="7" s="1"/>
  <c r="K49" i="6"/>
  <c r="O55" i="6"/>
  <c r="E37" i="7" s="1"/>
  <c r="D37" i="7"/>
  <c r="J34" i="9"/>
  <c r="R48" i="8"/>
  <c r="K34" i="9" s="1"/>
  <c r="J23" i="9"/>
  <c r="R31" i="8"/>
  <c r="K23" i="9" s="1"/>
  <c r="F25" i="1"/>
  <c r="P35" i="5"/>
  <c r="G25" i="1" s="1"/>
  <c r="K33" i="6"/>
  <c r="O33" i="6"/>
  <c r="E34" i="6"/>
  <c r="Q51" i="5"/>
  <c r="I37" i="1" s="1"/>
  <c r="H37" i="1"/>
  <c r="J39" i="1"/>
  <c r="R59" i="5"/>
  <c r="K39" i="1" s="1"/>
  <c r="H24" i="1"/>
  <c r="Q33" i="5"/>
  <c r="I24" i="1" s="1"/>
  <c r="D37" i="1"/>
  <c r="O51" i="5"/>
  <c r="E37" i="1" s="1"/>
  <c r="J37" i="1"/>
  <c r="R51" i="5"/>
  <c r="K37" i="1" s="1"/>
  <c r="F40" i="7"/>
  <c r="F37" i="7"/>
  <c r="P55" i="6"/>
  <c r="G37" i="7" s="1"/>
  <c r="R28" i="6" l="1"/>
  <c r="K22" i="7" s="1"/>
  <c r="R25" i="6"/>
  <c r="K21" i="7" s="1"/>
  <c r="J56" i="7"/>
  <c r="R80" i="6"/>
  <c r="K56" i="7" s="1"/>
  <c r="R45" i="6"/>
  <c r="K32" i="7" s="1"/>
  <c r="R40" i="6"/>
  <c r="K29" i="7" s="1"/>
  <c r="R62" i="6"/>
  <c r="K41" i="7" s="1"/>
  <c r="R58" i="6"/>
  <c r="K39" i="7" s="1"/>
  <c r="R22" i="6"/>
  <c r="K20" i="7" s="1"/>
  <c r="R20" i="6"/>
  <c r="K19" i="7" s="1"/>
  <c r="J31" i="7"/>
  <c r="R43" i="6"/>
  <c r="K31" i="7" s="1"/>
  <c r="D25" i="7"/>
  <c r="O34" i="6"/>
  <c r="E25" i="7" s="1"/>
  <c r="J25" i="9"/>
  <c r="R35" i="8"/>
  <c r="K25" i="9" s="1"/>
  <c r="D22" i="9"/>
  <c r="O28" i="8"/>
  <c r="E22" i="9" s="1"/>
  <c r="J24" i="9"/>
  <c r="R33" i="8"/>
  <c r="K24" i="9" s="1"/>
  <c r="Q51" i="8"/>
  <c r="I37" i="9" s="1"/>
  <c r="H37" i="9"/>
  <c r="F25" i="7"/>
  <c r="P34" i="6"/>
  <c r="G25" i="7" s="1"/>
  <c r="R29" i="6"/>
  <c r="K23" i="7" s="1"/>
  <c r="J23" i="7"/>
  <c r="F38" i="7"/>
  <c r="P52" i="6"/>
  <c r="G38" i="7" s="1"/>
  <c r="J27" i="7"/>
  <c r="R37" i="6"/>
  <c r="K27" i="7" s="1"/>
  <c r="D37" i="9"/>
  <c r="O51" i="8"/>
  <c r="E37" i="9" s="1"/>
  <c r="O33" i="8"/>
  <c r="E24" i="9" s="1"/>
  <c r="D24" i="9"/>
  <c r="F39" i="9"/>
  <c r="P59" i="8"/>
  <c r="G39" i="9" s="1"/>
  <c r="D25" i="9"/>
  <c r="O35" i="8"/>
  <c r="E25" i="9" s="1"/>
  <c r="F25" i="9"/>
  <c r="P35" i="8"/>
  <c r="G25" i="9" s="1"/>
  <c r="H25" i="9"/>
  <c r="Q35" i="8"/>
  <c r="I25" i="9" s="1"/>
  <c r="D39" i="9"/>
  <c r="O59" i="8"/>
  <c r="E39" i="9" s="1"/>
  <c r="Q28" i="8"/>
  <c r="I22" i="9" s="1"/>
  <c r="H22" i="9"/>
  <c r="O60" i="6"/>
  <c r="E40" i="7" s="1"/>
  <c r="D40" i="7"/>
  <c r="O29" i="6"/>
  <c r="E23" i="7" s="1"/>
  <c r="D23" i="7"/>
  <c r="H26" i="7"/>
  <c r="Q36" i="6"/>
  <c r="I26" i="7" s="1"/>
  <c r="P29" i="6"/>
  <c r="G23" i="7" s="1"/>
  <c r="F23" i="7"/>
  <c r="D38" i="7"/>
  <c r="O52" i="6"/>
  <c r="E38" i="7" s="1"/>
  <c r="J36" i="7"/>
  <c r="R54" i="6"/>
  <c r="K36" i="7" s="1"/>
  <c r="J40" i="7"/>
  <c r="R60" i="6"/>
  <c r="K40" i="7" s="1"/>
  <c r="K34" i="6"/>
  <c r="R33" i="6"/>
  <c r="R51" i="8"/>
  <c r="K37" i="9" s="1"/>
  <c r="J37" i="9"/>
  <c r="F22" i="9"/>
  <c r="P28" i="8"/>
  <c r="G22" i="9" s="1"/>
  <c r="R28" i="8"/>
  <c r="K22" i="9" s="1"/>
  <c r="J22" i="9"/>
  <c r="H39" i="9"/>
  <c r="Q59" i="8"/>
  <c r="I39" i="9" s="1"/>
  <c r="F37" i="9"/>
  <c r="P51" i="8"/>
  <c r="G37" i="9" s="1"/>
  <c r="P36" i="6"/>
  <c r="G26" i="7" s="1"/>
  <c r="F26" i="7"/>
  <c r="H25" i="7"/>
  <c r="Q34" i="6"/>
  <c r="I25" i="7" s="1"/>
  <c r="Q60" i="6"/>
  <c r="I40" i="7" s="1"/>
  <c r="H40" i="7"/>
  <c r="R55" i="6"/>
  <c r="K37" i="7" s="1"/>
  <c r="J37" i="7"/>
  <c r="R49" i="6"/>
  <c r="K35" i="7" s="1"/>
  <c r="J35" i="7"/>
  <c r="J39" i="9"/>
  <c r="R59" i="8"/>
  <c r="K39" i="9" s="1"/>
  <c r="P33" i="8"/>
  <c r="G24" i="9" s="1"/>
  <c r="F24" i="9"/>
  <c r="H24" i="9"/>
  <c r="Q33" i="8"/>
  <c r="I24" i="9" s="1"/>
  <c r="H23" i="7"/>
  <c r="Q29" i="6"/>
  <c r="I23" i="7" s="1"/>
  <c r="H38" i="7"/>
  <c r="Q52" i="6"/>
  <c r="I38" i="7" s="1"/>
  <c r="R52" i="6"/>
  <c r="K38" i="7" s="1"/>
  <c r="J38" i="7"/>
  <c r="O36" i="6"/>
  <c r="E26" i="7" s="1"/>
  <c r="D26" i="7"/>
  <c r="J24" i="1"/>
  <c r="R33" i="5"/>
  <c r="K24" i="1" s="1"/>
  <c r="J25" i="7" l="1"/>
  <c r="R34" i="6"/>
  <c r="K25" i="7" s="1"/>
</calcChain>
</file>

<file path=xl/comments1.xml><?xml version="1.0" encoding="utf-8"?>
<comments xmlns="http://schemas.openxmlformats.org/spreadsheetml/2006/main">
  <authors>
    <author>IRENE GOMEZ ROJAS</author>
  </authors>
  <commentList>
    <comment ref="M7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a mes de proceso</t>
        </r>
      </text>
    </comment>
  </commentList>
</comments>
</file>

<file path=xl/comments2.xml><?xml version="1.0" encoding="utf-8"?>
<comments xmlns="http://schemas.openxmlformats.org/spreadsheetml/2006/main">
  <authors>
    <author>IRENE GOMEZ ROJAS</author>
  </authors>
  <commentList>
    <comment ref="H5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en Hoja de trabajo RG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en Hoja de trabajo RG</t>
        </r>
      </text>
    </comment>
    <comment ref="M7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en Hoja de trabajo RG</t>
        </r>
      </text>
    </comment>
  </commentList>
</comments>
</file>

<file path=xl/comments3.xml><?xml version="1.0" encoding="utf-8"?>
<comments xmlns="http://schemas.openxmlformats.org/spreadsheetml/2006/main">
  <authors>
    <author>IRENE GOMEZ ROJAS</author>
  </authors>
  <commentList>
    <comment ref="H5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en Hoja de trabajo RG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en Hoja de trabajo RG</t>
        </r>
      </text>
    </comment>
    <comment ref="M7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en Hoja de trabajo RG</t>
        </r>
      </text>
    </comment>
    <comment ref="C85" authorId="0">
      <text>
        <r>
          <rPr>
            <b/>
            <sz val="8"/>
            <color indexed="81"/>
            <rFont val="Tahoma"/>
            <family val="2"/>
          </rPr>
          <t>IRENE GOMEZ ROJAS:</t>
        </r>
        <r>
          <rPr>
            <sz val="8"/>
            <color indexed="81"/>
            <rFont val="Tahoma"/>
            <family val="2"/>
          </rPr>
          <t xml:space="preserve">
Actualizar mensualmente Con la Media Mensual</t>
        </r>
      </text>
    </comment>
  </commentList>
</comments>
</file>

<file path=xl/sharedStrings.xml><?xml version="1.0" encoding="utf-8"?>
<sst xmlns="http://schemas.openxmlformats.org/spreadsheetml/2006/main" count="443" uniqueCount="101">
  <si>
    <t>Indicador</t>
  </si>
  <si>
    <t>Var. %</t>
  </si>
  <si>
    <t>Población protegida CP (promedio)</t>
  </si>
  <si>
    <t>Duración media altas</t>
  </si>
  <si>
    <t>Nº casos SREL</t>
  </si>
  <si>
    <t>Nº casos CUME</t>
  </si>
  <si>
    <t>Población protegida CC (promedio)</t>
  </si>
  <si>
    <t>Población protegida CATA (promedio)</t>
  </si>
  <si>
    <t>% Casos con baja s/ total</t>
  </si>
  <si>
    <t>Contingencias Profesionales</t>
  </si>
  <si>
    <t>Contingencias Comunes</t>
  </si>
  <si>
    <t>Nº Casos CATA</t>
  </si>
  <si>
    <t xml:space="preserve">Periodo: </t>
  </si>
  <si>
    <t>Expedientes Atendidos</t>
  </si>
  <si>
    <t>Casos con Baja CP (AT+EP)</t>
  </si>
  <si>
    <t>Casos totales CP (Con y Sin Baja)</t>
  </si>
  <si>
    <t>Días de las Altas CP</t>
  </si>
  <si>
    <t>Altas CP</t>
  </si>
  <si>
    <t>Nº Casos Pendientes de Alta CP</t>
  </si>
  <si>
    <t>Índice de Incidencia Casos con Baja (AT+EP)</t>
  </si>
  <si>
    <t>Duración media Altas</t>
  </si>
  <si>
    <t>Propuestas de Alta a Inspección</t>
  </si>
  <si>
    <t>Procesos iniciados indemnizables</t>
  </si>
  <si>
    <t>Procesos Visitados</t>
  </si>
  <si>
    <t>Días de las Altas CC</t>
  </si>
  <si>
    <t>Altas CC</t>
  </si>
  <si>
    <t>Días Indemnizables</t>
  </si>
  <si>
    <t>Casos prevalentes Indemnizables</t>
  </si>
  <si>
    <t>% Prop. de Alta / Procesos Visitados</t>
  </si>
  <si>
    <t>% Prop. de Alta / Procesos Iniciados indemnizables</t>
  </si>
  <si>
    <t>Días Indemnizables por Trabajador</t>
  </si>
  <si>
    <t>Índice de Prevalencia Indemnizable</t>
  </si>
  <si>
    <t>Recaudación:</t>
  </si>
  <si>
    <t>Derivaciones al SPS</t>
  </si>
  <si>
    <t>% Derivaciones al SPS</t>
  </si>
  <si>
    <t>Cuotas cobradas CP *</t>
  </si>
  <si>
    <t>IT CP (Sin SREL) *</t>
  </si>
  <si>
    <t>Gasto en SREL *</t>
  </si>
  <si>
    <t>Gasto en CUME *</t>
  </si>
  <si>
    <t>Cuotas cobradas CC *</t>
  </si>
  <si>
    <t>IT CC *</t>
  </si>
  <si>
    <t>Cuotas cobradas CATA *</t>
  </si>
  <si>
    <t>Prestación CATA *</t>
  </si>
  <si>
    <t>* Indicadores Marcados con un (*) según mes de Recaudación</t>
  </si>
  <si>
    <t>Var %</t>
  </si>
  <si>
    <t>Índice de Prevalencia (AT+EP)</t>
  </si>
  <si>
    <t>Duración Media Altas</t>
  </si>
  <si>
    <t>Cotización por bajas más 60 días (€) *</t>
  </si>
  <si>
    <t>% IT sobre Cuotas *</t>
  </si>
  <si>
    <t>% IMS sobre Cuotas *</t>
  </si>
  <si>
    <t>% SREL sobre cuotas *</t>
  </si>
  <si>
    <t>% CUME sobre cuotas *</t>
  </si>
  <si>
    <t>% IT sobre cuotas *</t>
  </si>
  <si>
    <t>% Prestación CATA sobre cuotas *</t>
  </si>
  <si>
    <t>IMS *</t>
  </si>
  <si>
    <t>Gasto en ASMA *</t>
  </si>
  <si>
    <t>% ASMA sobre cuotas *</t>
  </si>
  <si>
    <t>% Penetración sistema</t>
  </si>
  <si>
    <t>Población Protegida Sistema</t>
  </si>
  <si>
    <t>CATA</t>
  </si>
  <si>
    <t>Cuenta Ajena</t>
  </si>
  <si>
    <t>Cuenta Propia</t>
  </si>
  <si>
    <t>Total</t>
  </si>
  <si>
    <t>Cuadro de Mando Indicadores</t>
  </si>
  <si>
    <r>
      <rPr>
        <b/>
        <sz val="22"/>
        <color theme="3"/>
        <rFont val="Calibri"/>
        <family val="2"/>
        <scheme val="minor"/>
      </rPr>
      <t>+ Compromiso</t>
    </r>
    <r>
      <rPr>
        <sz val="22"/>
        <color theme="3"/>
        <rFont val="Calibri"/>
        <family val="2"/>
        <scheme val="minor"/>
      </rPr>
      <t xml:space="preserve"> </t>
    </r>
    <r>
      <rPr>
        <i/>
        <sz val="18"/>
        <color theme="3"/>
        <rFont val="Calibri"/>
        <family val="2"/>
        <scheme val="minor"/>
      </rPr>
      <t>Alianza de Mutuas</t>
    </r>
  </si>
  <si>
    <t>Población protegida (promedio)</t>
  </si>
  <si>
    <t>Cuotas cobradas *</t>
  </si>
  <si>
    <t>% Penetración Sistema</t>
  </si>
  <si>
    <t>Total Cuenta Ajena + Cuenta Propia</t>
  </si>
  <si>
    <t>% Pendientes de Alta CP sobre total Casos Baja</t>
  </si>
  <si>
    <t>Índice de Incidencia Casos Indemnizables</t>
  </si>
  <si>
    <t>Asepeyo</t>
  </si>
  <si>
    <t>Fraternidad</t>
  </si>
  <si>
    <t>MC Mutual</t>
  </si>
  <si>
    <t xml:space="preserve">Facturación Sanitaria Emitida </t>
  </si>
  <si>
    <t>--</t>
  </si>
  <si>
    <t>Primera Visita / Urgencia</t>
  </si>
  <si>
    <t>Visita Sucesiva</t>
  </si>
  <si>
    <t>Diagnóstico por la Imagen</t>
  </si>
  <si>
    <t>Intervenciones Quirúrgicas</t>
  </si>
  <si>
    <t>Sesiones de Rehabilitación</t>
  </si>
  <si>
    <t>Pacientes Atendidos</t>
  </si>
  <si>
    <t>Mayo</t>
  </si>
  <si>
    <t>Febrero</t>
  </si>
  <si>
    <t>Procesos iniciados</t>
  </si>
  <si>
    <t>Días de las Altas</t>
  </si>
  <si>
    <t>Altas</t>
  </si>
  <si>
    <t>Índice de Incidencia (S/Pob CP) NO EXTRAPOLADO</t>
  </si>
  <si>
    <t>% IT sobre Cuotas CP*</t>
  </si>
  <si>
    <t>Gasto IT COVID *</t>
  </si>
  <si>
    <t>COVID-19</t>
  </si>
  <si>
    <t>Nº Casos Pendientes de Alta</t>
  </si>
  <si>
    <t>Solicitudes Reconocidas</t>
  </si>
  <si>
    <t>Solicitudes Desfavorables</t>
  </si>
  <si>
    <t>Importe prestación reconocida</t>
  </si>
  <si>
    <r>
      <t xml:space="preserve">PECATA </t>
    </r>
    <r>
      <rPr>
        <b/>
        <sz val="16"/>
        <color theme="3"/>
        <rFont val="Calibri"/>
        <family val="2"/>
      </rPr>
      <t>¹</t>
    </r>
  </si>
  <si>
    <r>
      <rPr>
        <b/>
        <sz val="12"/>
        <color theme="3"/>
        <rFont val="Calibri"/>
        <family val="2"/>
      </rPr>
      <t>¹</t>
    </r>
    <r>
      <rPr>
        <b/>
        <i/>
        <sz val="11"/>
        <color theme="3"/>
        <rFont val="Calibri"/>
        <family val="2"/>
      </rPr>
      <t xml:space="preserve"> Importe satisfecho hasta el tercer pago de la Prestación Extraordinaria de Cese de Actividad (Valores acumulados)</t>
    </r>
  </si>
  <si>
    <t>Actividad entre Mutuas</t>
  </si>
  <si>
    <t xml:space="preserve"> + Compromiso</t>
  </si>
  <si>
    <t>% Solicitudes / Autónomo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</si>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</sst>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8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sz val="18"/>
      <color theme="3"/>
      <name val="Calibri"/>
      <family val="2"/>
      <scheme val="minor"/>
    </font>
    <font>
      <i/>
      <sz val="12"/>
      <color theme="3"/>
      <name val="Calibri"/>
      <family val="2"/>
      <scheme val="minor"/>
    </font>
    <font>
      <b/>
      <sz val="28"/>
      <color theme="3"/>
      <name val="Calibri"/>
      <family val="2"/>
      <scheme val="minor"/>
    </font>
    <font>
      <sz val="22"/>
      <color theme="3"/>
      <name val="Calibri"/>
      <family val="2"/>
      <scheme val="minor"/>
    </font>
    <font>
      <i/>
      <sz val="22"/>
      <color theme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3"/>
      <name val="Calibri"/>
      <family val="2"/>
    </font>
    <font>
      <b/>
      <i/>
      <sz val="11"/>
      <color theme="3"/>
      <name val="Calibri"/>
      <family val="2"/>
    </font>
    <font>
      <b/>
      <sz val="12"/>
      <color theme="3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hair">
        <color rgb="FF002060"/>
      </left>
      <right/>
      <top style="medium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medium">
        <color rgb="FF002060"/>
      </bottom>
      <diagonal/>
    </border>
    <border>
      <left/>
      <right style="hair">
        <color rgb="FF002060"/>
      </right>
      <top style="medium">
        <color rgb="FF002060"/>
      </top>
      <bottom/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double">
        <color rgb="FF002060"/>
      </bottom>
      <diagonal/>
    </border>
    <border>
      <left/>
      <right style="hair">
        <color rgb="FF002060"/>
      </right>
      <top style="medium">
        <color rgb="FF002060"/>
      </top>
      <bottom style="double">
        <color rgb="FF002060"/>
      </bottom>
      <diagonal/>
    </border>
    <border>
      <left style="hair">
        <color rgb="FF002060"/>
      </left>
      <right/>
      <top style="medium">
        <color rgb="FF002060"/>
      </top>
      <bottom style="double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double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double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double">
        <color rgb="FF002060"/>
      </top>
      <bottom style="double">
        <color rgb="FF002060"/>
      </bottom>
      <diagonal/>
    </border>
    <border>
      <left/>
      <right style="hair">
        <color rgb="FF002060"/>
      </right>
      <top style="double">
        <color rgb="FF002060"/>
      </top>
      <bottom style="double">
        <color rgb="FF002060"/>
      </bottom>
      <diagonal/>
    </border>
    <border>
      <left style="hair">
        <color rgb="FF002060"/>
      </left>
      <right style="medium">
        <color rgb="FF002060"/>
      </right>
      <top style="double">
        <color rgb="FF002060"/>
      </top>
      <bottom style="double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medium">
        <color rgb="FF002060"/>
      </right>
      <top style="hair">
        <color rgb="FF002060"/>
      </top>
      <bottom/>
      <diagonal/>
    </border>
    <border>
      <left style="medium">
        <color rgb="FF002060"/>
      </left>
      <right style="hair">
        <color rgb="FF002060"/>
      </right>
      <top style="double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double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double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/>
      <right/>
      <top/>
      <bottom style="double">
        <color theme="3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8">
    <xf numFmtId="0" fontId="0" fillId="0" borderId="0" xfId="0"/>
    <xf numFmtId="0" fontId="6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9" fillId="2" borderId="0" xfId="0" applyFont="1" applyFill="1"/>
    <xf numFmtId="4" fontId="8" fillId="8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2" borderId="0" xfId="0" applyFont="1" applyFill="1"/>
    <xf numFmtId="3" fontId="9" fillId="2" borderId="0" xfId="0" applyNumberFormat="1" applyFont="1" applyFill="1"/>
    <xf numFmtId="3" fontId="9" fillId="2" borderId="10" xfId="0" applyNumberFormat="1" applyFont="1" applyFill="1" applyBorder="1" applyAlignment="1">
      <alignment horizontal="left" vertical="center" wrapText="1"/>
    </xf>
    <xf numFmtId="3" fontId="9" fillId="2" borderId="20" xfId="0" applyNumberFormat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 wrapText="1"/>
    </xf>
    <xf numFmtId="3" fontId="9" fillId="2" borderId="28" xfId="0" applyNumberFormat="1" applyFont="1" applyFill="1" applyBorder="1" applyAlignment="1">
      <alignment horizontal="left" vertical="center" wrapText="1"/>
    </xf>
    <xf numFmtId="3" fontId="9" fillId="2" borderId="29" xfId="0" applyNumberFormat="1" applyFont="1" applyFill="1" applyBorder="1" applyAlignment="1">
      <alignment horizontal="center" vertical="center" wrapText="1"/>
    </xf>
    <xf numFmtId="3" fontId="9" fillId="2" borderId="30" xfId="0" applyNumberFormat="1" applyFont="1" applyFill="1" applyBorder="1" applyAlignment="1">
      <alignment horizontal="center" vertical="center" wrapText="1"/>
    </xf>
    <xf numFmtId="10" fontId="9" fillId="2" borderId="0" xfId="1" applyNumberFormat="1" applyFont="1" applyFill="1"/>
    <xf numFmtId="10" fontId="9" fillId="6" borderId="28" xfId="1" applyNumberFormat="1" applyFont="1" applyFill="1" applyBorder="1" applyAlignment="1">
      <alignment horizontal="left" vertical="center" wrapText="1"/>
    </xf>
    <xf numFmtId="10" fontId="9" fillId="6" borderId="29" xfId="1" applyNumberFormat="1" applyFont="1" applyFill="1" applyBorder="1" applyAlignment="1">
      <alignment horizontal="center" vertical="center" wrapText="1"/>
    </xf>
    <xf numFmtId="10" fontId="9" fillId="6" borderId="30" xfId="1" applyNumberFormat="1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left" vertical="center" wrapText="1"/>
    </xf>
    <xf numFmtId="4" fontId="9" fillId="6" borderId="29" xfId="0" applyNumberFormat="1" applyFont="1" applyFill="1" applyBorder="1" applyAlignment="1">
      <alignment horizontal="center" vertical="center" wrapText="1"/>
    </xf>
    <xf numFmtId="4" fontId="9" fillId="6" borderId="30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/>
    <xf numFmtId="4" fontId="9" fillId="6" borderId="28" xfId="0" applyNumberFormat="1" applyFont="1" applyFill="1" applyBorder="1" applyAlignment="1">
      <alignment horizontal="left" vertical="center" wrapText="1"/>
    </xf>
    <xf numFmtId="4" fontId="9" fillId="2" borderId="28" xfId="0" applyNumberFormat="1" applyFont="1" applyFill="1" applyBorder="1" applyAlignment="1">
      <alignment horizontal="left" vertical="center" wrapText="1"/>
    </xf>
    <xf numFmtId="10" fontId="9" fillId="2" borderId="10" xfId="1" applyNumberFormat="1" applyFont="1" applyFill="1" applyBorder="1" applyAlignment="1">
      <alignment horizontal="left" vertical="center" wrapText="1"/>
    </xf>
    <xf numFmtId="3" fontId="9" fillId="6" borderId="31" xfId="0" applyNumberFormat="1" applyFont="1" applyFill="1" applyBorder="1" applyAlignment="1">
      <alignment horizontal="left" vertical="center" wrapText="1"/>
    </xf>
    <xf numFmtId="10" fontId="9" fillId="6" borderId="32" xfId="1" applyNumberFormat="1" applyFont="1" applyFill="1" applyBorder="1" applyAlignment="1">
      <alignment horizontal="center" vertical="center" wrapText="1"/>
    </xf>
    <xf numFmtId="10" fontId="9" fillId="6" borderId="33" xfId="1" applyNumberFormat="1" applyFont="1" applyFill="1" applyBorder="1" applyAlignment="1">
      <alignment horizontal="center" vertical="center" wrapText="1"/>
    </xf>
    <xf numFmtId="3" fontId="9" fillId="2" borderId="9" xfId="0" applyNumberFormat="1" applyFont="1" applyFill="1" applyBorder="1" applyAlignment="1">
      <alignment horizontal="left" vertical="center" wrapText="1"/>
    </xf>
    <xf numFmtId="3" fontId="9" fillId="2" borderId="19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left" vertical="center" wrapText="1"/>
    </xf>
    <xf numFmtId="4" fontId="9" fillId="6" borderId="21" xfId="0" applyNumberFormat="1" applyFont="1" applyFill="1" applyBorder="1" applyAlignment="1">
      <alignment horizontal="center" vertical="center" wrapText="1"/>
    </xf>
    <xf numFmtId="4" fontId="9" fillId="6" borderId="7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center" vertical="center" wrapText="1"/>
    </xf>
    <xf numFmtId="10" fontId="9" fillId="2" borderId="13" xfId="1" applyNumberFormat="1" applyFont="1" applyFill="1" applyBorder="1" applyAlignment="1">
      <alignment horizontal="center" vertical="center" wrapText="1"/>
    </xf>
    <xf numFmtId="10" fontId="9" fillId="2" borderId="14" xfId="1" applyNumberFormat="1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10" fontId="9" fillId="2" borderId="48" xfId="1" applyNumberFormat="1" applyFont="1" applyFill="1" applyBorder="1" applyAlignment="1">
      <alignment horizontal="center" vertical="center" wrapText="1"/>
    </xf>
    <xf numFmtId="10" fontId="9" fillId="2" borderId="49" xfId="1" applyNumberFormat="1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10" fontId="9" fillId="2" borderId="50" xfId="1" applyNumberFormat="1" applyFont="1" applyFill="1" applyBorder="1" applyAlignment="1">
      <alignment horizontal="center" vertical="center" wrapText="1"/>
    </xf>
    <xf numFmtId="10" fontId="9" fillId="2" borderId="51" xfId="1" applyNumberFormat="1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4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21" fillId="2" borderId="0" xfId="0" applyFont="1" applyFill="1" applyAlignment="1"/>
    <xf numFmtId="0" fontId="19" fillId="2" borderId="52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17" fillId="2" borderId="52" xfId="0" quotePrefix="1" applyFont="1" applyFill="1" applyBorder="1" applyAlignment="1">
      <alignment vertical="center"/>
    </xf>
    <xf numFmtId="0" fontId="20" fillId="2" borderId="52" xfId="0" quotePrefix="1" applyFont="1" applyFill="1" applyBorder="1" applyAlignment="1">
      <alignment vertical="center"/>
    </xf>
    <xf numFmtId="0" fontId="14" fillId="11" borderId="23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  <xf numFmtId="3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29" xfId="1" applyNumberFormat="1" applyFont="1" applyFill="1" applyBorder="1" applyAlignment="1" applyProtection="1">
      <alignment horizontal="center" vertical="center" wrapText="1"/>
      <protection locked="0"/>
    </xf>
    <xf numFmtId="3" fontId="9" fillId="2" borderId="30" xfId="1" applyNumberFormat="1" applyFont="1" applyFill="1" applyBorder="1" applyAlignment="1" applyProtection="1">
      <alignment horizontal="center" vertical="center" wrapText="1"/>
      <protection locked="0"/>
    </xf>
    <xf numFmtId="3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41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43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5" xfId="1" applyNumberFormat="1" applyFont="1" applyFill="1" applyBorder="1" applyAlignment="1" applyProtection="1">
      <alignment horizontal="center" vertical="center" wrapText="1"/>
      <protection locked="0"/>
    </xf>
    <xf numFmtId="3" fontId="9" fillId="2" borderId="20" xfId="1" applyNumberFormat="1" applyFont="1" applyFill="1" applyBorder="1" applyAlignment="1" applyProtection="1">
      <alignment horizontal="center" vertical="center" wrapText="1"/>
      <protection locked="0"/>
    </xf>
    <xf numFmtId="4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6" borderId="28" xfId="0" applyNumberFormat="1" applyFont="1" applyFill="1" applyBorder="1" applyAlignment="1">
      <alignment horizontal="left" vertical="center" wrapText="1"/>
    </xf>
    <xf numFmtId="4" fontId="9" fillId="6" borderId="30" xfId="0" applyNumberFormat="1" applyFont="1" applyFill="1" applyBorder="1" applyAlignment="1" applyProtection="1">
      <alignment horizontal="center" vertical="center" wrapText="1"/>
      <protection locked="0"/>
    </xf>
    <xf numFmtId="4" fontId="9" fillId="6" borderId="29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54" xfId="1" applyNumberFormat="1" applyFont="1" applyFill="1" applyBorder="1" applyAlignment="1" applyProtection="1">
      <alignment horizontal="center" vertical="center" wrapText="1"/>
      <protection locked="0"/>
    </xf>
    <xf numFmtId="3" fontId="9" fillId="2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2" borderId="19" xfId="0" applyNumberFormat="1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 applyProtection="1">
      <alignment horizontal="center" vertical="center" wrapText="1"/>
    </xf>
    <xf numFmtId="3" fontId="9" fillId="2" borderId="29" xfId="0" applyNumberFormat="1" applyFont="1" applyFill="1" applyBorder="1" applyAlignment="1" applyProtection="1">
      <alignment horizontal="center" vertical="center" wrapText="1"/>
    </xf>
    <xf numFmtId="3" fontId="9" fillId="2" borderId="30" xfId="0" applyNumberFormat="1" applyFont="1" applyFill="1" applyBorder="1" applyAlignment="1" applyProtection="1">
      <alignment horizontal="center" vertical="center" wrapText="1"/>
    </xf>
    <xf numFmtId="3" fontId="9" fillId="2" borderId="54" xfId="1" applyNumberFormat="1" applyFont="1" applyFill="1" applyBorder="1" applyAlignment="1" applyProtection="1">
      <alignment horizontal="center" vertical="center" wrapText="1"/>
    </xf>
    <xf numFmtId="3" fontId="9" fillId="2" borderId="44" xfId="1" applyNumberFormat="1" applyFont="1" applyFill="1" applyBorder="1" applyAlignment="1" applyProtection="1">
      <alignment horizontal="center" vertical="center" wrapText="1"/>
    </xf>
    <xf numFmtId="3" fontId="9" fillId="2" borderId="29" xfId="1" applyNumberFormat="1" applyFont="1" applyFill="1" applyBorder="1" applyAlignment="1" applyProtection="1">
      <alignment horizontal="center" vertical="center" wrapText="1"/>
    </xf>
    <xf numFmtId="3" fontId="9" fillId="2" borderId="30" xfId="1" applyNumberFormat="1" applyFont="1" applyFill="1" applyBorder="1" applyAlignment="1" applyProtection="1">
      <alignment horizontal="center" vertical="center" wrapText="1"/>
    </xf>
    <xf numFmtId="3" fontId="9" fillId="2" borderId="9" xfId="0" applyNumberFormat="1" applyFont="1" applyFill="1" applyBorder="1" applyAlignment="1" applyProtection="1">
      <alignment horizontal="left" vertical="center" wrapText="1"/>
    </xf>
    <xf numFmtId="3" fontId="9" fillId="2" borderId="28" xfId="0" applyNumberFormat="1" applyFont="1" applyFill="1" applyBorder="1" applyAlignment="1" applyProtection="1">
      <alignment horizontal="left" vertical="center" wrapText="1"/>
    </xf>
    <xf numFmtId="10" fontId="9" fillId="6" borderId="28" xfId="1" applyNumberFormat="1" applyFont="1" applyFill="1" applyBorder="1" applyAlignment="1" applyProtection="1">
      <alignment horizontal="left" vertical="center" wrapText="1"/>
    </xf>
    <xf numFmtId="3" fontId="9" fillId="2" borderId="53" xfId="1" applyNumberFormat="1" applyFont="1" applyFill="1" applyBorder="1" applyAlignment="1" applyProtection="1">
      <alignment horizontal="left" vertical="center" wrapText="1"/>
    </xf>
    <xf numFmtId="3" fontId="9" fillId="6" borderId="28" xfId="1" applyNumberFormat="1" applyFont="1" applyFill="1" applyBorder="1" applyAlignment="1" applyProtection="1">
      <alignment horizontal="left" vertical="center" wrapText="1"/>
    </xf>
    <xf numFmtId="3" fontId="9" fillId="2" borderId="28" xfId="1" applyNumberFormat="1" applyFont="1" applyFill="1" applyBorder="1" applyAlignment="1" applyProtection="1">
      <alignment horizontal="left" vertical="center" wrapText="1"/>
    </xf>
    <xf numFmtId="3" fontId="9" fillId="6" borderId="11" xfId="0" applyNumberFormat="1" applyFont="1" applyFill="1" applyBorder="1" applyAlignment="1" applyProtection="1">
      <alignment horizontal="left" vertical="center" wrapText="1"/>
    </xf>
    <xf numFmtId="3" fontId="6" fillId="2" borderId="9" xfId="0" applyNumberFormat="1" applyFont="1" applyFill="1" applyBorder="1" applyAlignment="1" applyProtection="1">
      <alignment horizontal="left" vertical="center" wrapText="1"/>
    </xf>
    <xf numFmtId="3" fontId="6" fillId="2" borderId="28" xfId="0" applyNumberFormat="1" applyFont="1" applyFill="1" applyBorder="1" applyAlignment="1" applyProtection="1">
      <alignment horizontal="left" vertical="center" wrapText="1"/>
    </xf>
    <xf numFmtId="3" fontId="6" fillId="2" borderId="53" xfId="1" applyNumberFormat="1" applyFont="1" applyFill="1" applyBorder="1" applyAlignment="1" applyProtection="1">
      <alignment horizontal="left" vertical="center" wrapText="1"/>
    </xf>
    <xf numFmtId="3" fontId="6" fillId="2" borderId="28" xfId="1" applyNumberFormat="1" applyFont="1" applyFill="1" applyBorder="1" applyAlignment="1" applyProtection="1">
      <alignment horizontal="left" vertical="center" wrapText="1"/>
    </xf>
    <xf numFmtId="10" fontId="6" fillId="2" borderId="28" xfId="1" applyNumberFormat="1" applyFont="1" applyFill="1" applyBorder="1" applyAlignment="1" applyProtection="1">
      <alignment horizontal="left" vertical="center" wrapText="1"/>
    </xf>
    <xf numFmtId="3" fontId="6" fillId="2" borderId="11" xfId="0" applyNumberFormat="1" applyFont="1" applyFill="1" applyBorder="1" applyAlignment="1" applyProtection="1">
      <alignment horizontal="left" vertical="center" wrapText="1"/>
    </xf>
    <xf numFmtId="0" fontId="4" fillId="2" borderId="0" xfId="0" applyFont="1" applyFill="1" applyProtection="1"/>
    <xf numFmtId="0" fontId="6" fillId="2" borderId="0" xfId="0" applyFont="1" applyFill="1" applyProtection="1"/>
    <xf numFmtId="0" fontId="19" fillId="2" borderId="52" xfId="0" applyFont="1" applyFill="1" applyBorder="1" applyAlignment="1" applyProtection="1">
      <alignment vertical="center"/>
    </xf>
    <xf numFmtId="0" fontId="5" fillId="2" borderId="52" xfId="0" applyFont="1" applyFill="1" applyBorder="1" applyAlignment="1" applyProtection="1">
      <alignment vertical="center"/>
    </xf>
    <xf numFmtId="0" fontId="17" fillId="2" borderId="52" xfId="0" quotePrefix="1" applyFont="1" applyFill="1" applyBorder="1" applyAlignment="1" applyProtection="1">
      <alignment vertical="center"/>
    </xf>
    <xf numFmtId="0" fontId="20" fillId="2" borderId="52" xfId="0" quotePrefix="1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9" fillId="2" borderId="0" xfId="0" applyFont="1" applyFill="1" applyProtection="1"/>
    <xf numFmtId="0" fontId="8" fillId="2" borderId="0" xfId="0" applyFont="1" applyFill="1" applyProtection="1"/>
    <xf numFmtId="0" fontId="21" fillId="2" borderId="0" xfId="0" applyFont="1" applyFill="1" applyAlignment="1" applyProtection="1"/>
    <xf numFmtId="0" fontId="4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10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14" fillId="10" borderId="23" xfId="0" applyFont="1" applyFill="1" applyBorder="1" applyAlignment="1" applyProtection="1">
      <alignment horizontal="center" vertical="center" wrapText="1"/>
    </xf>
    <xf numFmtId="0" fontId="14" fillId="10" borderId="24" xfId="0" applyFont="1" applyFill="1" applyBorder="1" applyAlignment="1" applyProtection="1">
      <alignment horizontal="center" vertical="center" wrapText="1"/>
    </xf>
    <xf numFmtId="10" fontId="18" fillId="10" borderId="25" xfId="1" applyNumberFormat="1" applyFont="1" applyFill="1" applyBorder="1" applyAlignment="1" applyProtection="1">
      <alignment horizontal="center" vertical="center" wrapText="1"/>
    </xf>
    <xf numFmtId="0" fontId="14" fillId="10" borderId="26" xfId="0" applyFont="1" applyFill="1" applyBorder="1" applyAlignment="1" applyProtection="1">
      <alignment horizontal="center" vertical="center" wrapText="1"/>
    </xf>
    <xf numFmtId="10" fontId="18" fillId="10" borderId="27" xfId="1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6" fillId="9" borderId="34" xfId="0" applyFont="1" applyFill="1" applyBorder="1" applyAlignment="1" applyProtection="1">
      <alignment horizontal="left" vertical="center" wrapText="1"/>
    </xf>
    <xf numFmtId="10" fontId="6" fillId="9" borderId="35" xfId="0" applyNumberFormat="1" applyFont="1" applyFill="1" applyBorder="1" applyAlignment="1" applyProtection="1">
      <alignment horizontal="center" vertical="center" wrapText="1"/>
    </xf>
    <xf numFmtId="10" fontId="13" fillId="9" borderId="36" xfId="1" applyNumberFormat="1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3" fontId="6" fillId="2" borderId="20" xfId="0" applyNumberFormat="1" applyFont="1" applyFill="1" applyBorder="1" applyAlignment="1" applyProtection="1">
      <alignment horizontal="center" vertical="center" wrapText="1"/>
    </xf>
    <xf numFmtId="10" fontId="13" fillId="2" borderId="5" xfId="1" applyNumberFormat="1" applyFont="1" applyFill="1" applyBorder="1" applyAlignment="1" applyProtection="1">
      <alignment horizontal="center" vertical="center" wrapText="1"/>
    </xf>
    <xf numFmtId="3" fontId="6" fillId="2" borderId="29" xfId="0" applyNumberFormat="1" applyFont="1" applyFill="1" applyBorder="1" applyAlignment="1" applyProtection="1">
      <alignment horizontal="center" vertical="center" wrapText="1"/>
    </xf>
    <xf numFmtId="10" fontId="13" fillId="2" borderId="30" xfId="1" applyNumberFormat="1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Protection="1"/>
    <xf numFmtId="10" fontId="6" fillId="2" borderId="29" xfId="1" applyNumberFormat="1" applyFont="1" applyFill="1" applyBorder="1" applyAlignment="1" applyProtection="1">
      <alignment horizontal="center" vertical="center" wrapText="1"/>
    </xf>
    <xf numFmtId="10" fontId="6" fillId="2" borderId="0" xfId="1" applyNumberFormat="1" applyFont="1" applyFill="1" applyProtection="1"/>
    <xf numFmtId="0" fontId="6" fillId="2" borderId="28" xfId="0" applyFont="1" applyFill="1" applyBorder="1" applyAlignment="1" applyProtection="1">
      <alignment horizontal="left" vertical="center" wrapText="1"/>
    </xf>
    <xf numFmtId="4" fontId="6" fillId="2" borderId="29" xfId="0" applyNumberFormat="1" applyFont="1" applyFill="1" applyBorder="1" applyAlignment="1" applyProtection="1">
      <alignment horizontal="center" vertical="center" wrapText="1"/>
    </xf>
    <xf numFmtId="4" fontId="6" fillId="2" borderId="28" xfId="0" applyNumberFormat="1" applyFont="1" applyFill="1" applyBorder="1" applyAlignment="1" applyProtection="1">
      <alignment horizontal="left" vertical="center" wrapText="1"/>
    </xf>
    <xf numFmtId="4" fontId="6" fillId="2" borderId="0" xfId="0" applyNumberFormat="1" applyFont="1" applyFill="1" applyProtection="1"/>
    <xf numFmtId="10" fontId="6" fillId="2" borderId="21" xfId="1" applyNumberFormat="1" applyFont="1" applyFill="1" applyBorder="1" applyAlignment="1" applyProtection="1">
      <alignment horizontal="center" vertical="center" wrapText="1"/>
    </xf>
    <xf numFmtId="10" fontId="13" fillId="2" borderId="7" xfId="1" applyNumberFormat="1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3" fontId="6" fillId="2" borderId="19" xfId="0" applyNumberFormat="1" applyFont="1" applyFill="1" applyBorder="1" applyAlignment="1" applyProtection="1">
      <alignment horizontal="center" vertical="center" wrapText="1"/>
    </xf>
    <xf numFmtId="10" fontId="13" fillId="2" borderId="3" xfId="1" applyNumberFormat="1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4" fontId="6" fillId="2" borderId="21" xfId="0" applyNumberFormat="1" applyFont="1" applyFill="1" applyBorder="1" applyAlignment="1" applyProtection="1">
      <alignment horizontal="center" vertical="center" wrapText="1"/>
    </xf>
    <xf numFmtId="3" fontId="6" fillId="2" borderId="29" xfId="1" applyNumberFormat="1" applyFont="1" applyFill="1" applyBorder="1" applyAlignment="1" applyProtection="1">
      <alignment horizontal="center" vertical="center" wrapText="1"/>
    </xf>
    <xf numFmtId="3" fontId="13" fillId="2" borderId="30" xfId="1" applyNumberFormat="1" applyFont="1" applyFill="1" applyBorder="1" applyAlignment="1" applyProtection="1">
      <alignment horizontal="center" vertical="center" wrapText="1"/>
    </xf>
    <xf numFmtId="3" fontId="6" fillId="2" borderId="0" xfId="1" applyNumberFormat="1" applyFont="1" applyFill="1" applyProtection="1"/>
    <xf numFmtId="3" fontId="6" fillId="2" borderId="21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Protection="1"/>
    <xf numFmtId="0" fontId="14" fillId="11" borderId="23" xfId="0" applyFont="1" applyFill="1" applyBorder="1" applyAlignment="1" applyProtection="1">
      <alignment horizontal="center" vertical="center" wrapText="1"/>
    </xf>
    <xf numFmtId="0" fontId="14" fillId="11" borderId="24" xfId="0" applyFont="1" applyFill="1" applyBorder="1" applyAlignment="1" applyProtection="1">
      <alignment horizontal="center" vertical="center" wrapText="1"/>
    </xf>
    <xf numFmtId="10" fontId="18" fillId="11" borderId="25" xfId="1" applyNumberFormat="1" applyFont="1" applyFill="1" applyBorder="1" applyAlignment="1" applyProtection="1">
      <alignment horizontal="center" vertical="center" wrapText="1"/>
    </xf>
    <xf numFmtId="0" fontId="14" fillId="11" borderId="26" xfId="0" applyFont="1" applyFill="1" applyBorder="1" applyAlignment="1" applyProtection="1">
      <alignment horizontal="center" vertical="center" wrapText="1"/>
    </xf>
    <xf numFmtId="10" fontId="18" fillId="11" borderId="27" xfId="1" applyNumberFormat="1" applyFont="1" applyFill="1" applyBorder="1" applyAlignment="1" applyProtection="1">
      <alignment horizontal="center" vertical="center" wrapText="1"/>
    </xf>
    <xf numFmtId="0" fontId="14" fillId="8" borderId="23" xfId="0" applyFont="1" applyFill="1" applyBorder="1" applyAlignment="1" applyProtection="1">
      <alignment horizontal="center" vertical="center" wrapText="1"/>
    </xf>
    <xf numFmtId="0" fontId="14" fillId="8" borderId="24" xfId="0" applyFont="1" applyFill="1" applyBorder="1" applyAlignment="1" applyProtection="1">
      <alignment horizontal="center" vertical="center" wrapText="1"/>
    </xf>
    <xf numFmtId="10" fontId="18" fillId="8" borderId="25" xfId="1" applyNumberFormat="1" applyFont="1" applyFill="1" applyBorder="1" applyAlignment="1" applyProtection="1">
      <alignment horizontal="center" vertical="center" wrapText="1"/>
    </xf>
    <xf numFmtId="0" fontId="14" fillId="8" borderId="26" xfId="0" applyFont="1" applyFill="1" applyBorder="1" applyAlignment="1" applyProtection="1">
      <alignment horizontal="center" vertical="center" wrapText="1"/>
    </xf>
    <xf numFmtId="10" fontId="18" fillId="8" borderId="27" xfId="1" applyNumberFormat="1" applyFont="1" applyFill="1" applyBorder="1" applyAlignment="1" applyProtection="1">
      <alignment horizontal="center" vertical="center" wrapText="1"/>
    </xf>
    <xf numFmtId="4" fontId="9" fillId="6" borderId="29" xfId="1" applyNumberFormat="1" applyFont="1" applyFill="1" applyBorder="1" applyAlignment="1" applyProtection="1">
      <alignment horizontal="center" vertical="center" wrapText="1"/>
    </xf>
    <xf numFmtId="4" fontId="9" fillId="6" borderId="30" xfId="1" applyNumberFormat="1" applyFont="1" applyFill="1" applyBorder="1" applyAlignment="1" applyProtection="1">
      <alignment horizontal="center" vertical="center" wrapText="1"/>
    </xf>
    <xf numFmtId="10" fontId="9" fillId="2" borderId="3" xfId="1" applyNumberFormat="1" applyFont="1" applyFill="1" applyBorder="1" applyAlignment="1" applyProtection="1">
      <alignment horizontal="center" vertical="center" wrapText="1"/>
    </xf>
    <xf numFmtId="10" fontId="9" fillId="6" borderId="21" xfId="1" applyNumberFormat="1" applyFont="1" applyFill="1" applyBorder="1" applyAlignment="1" applyProtection="1">
      <alignment horizontal="center" vertical="center" wrapText="1"/>
    </xf>
    <xf numFmtId="10" fontId="9" fillId="6" borderId="7" xfId="1" applyNumberFormat="1" applyFont="1" applyFill="1" applyBorder="1" applyAlignment="1" applyProtection="1">
      <alignment horizontal="center" vertical="center" wrapText="1"/>
    </xf>
    <xf numFmtId="3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5" xfId="0" applyNumberFormat="1" applyFont="1" applyFill="1" applyBorder="1" applyAlignment="1">
      <alignment horizontal="center" vertical="center" wrapText="1"/>
    </xf>
    <xf numFmtId="10" fontId="9" fillId="2" borderId="5" xfId="1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Alignment="1" applyProtection="1">
      <alignment horizontal="center" vertical="center" wrapText="1"/>
    </xf>
    <xf numFmtId="4" fontId="8" fillId="8" borderId="1" xfId="0" applyNumberFormat="1" applyFont="1" applyFill="1" applyBorder="1" applyAlignment="1" applyProtection="1">
      <alignment horizontal="center" vertical="center" wrapText="1"/>
    </xf>
    <xf numFmtId="0" fontId="14" fillId="10" borderId="25" xfId="0" applyFont="1" applyFill="1" applyBorder="1" applyAlignment="1" applyProtection="1">
      <alignment horizontal="center" vertical="center" wrapText="1"/>
    </xf>
    <xf numFmtId="0" fontId="14" fillId="10" borderId="27" xfId="0" applyFont="1" applyFill="1" applyBorder="1" applyAlignment="1" applyProtection="1">
      <alignment horizontal="center" vertical="center" wrapText="1"/>
    </xf>
    <xf numFmtId="0" fontId="4" fillId="7" borderId="15" xfId="0" applyFont="1" applyFill="1" applyBorder="1" applyAlignment="1" applyProtection="1">
      <alignment horizontal="center" vertical="center" wrapText="1"/>
    </xf>
    <xf numFmtId="0" fontId="4" fillId="7" borderId="40" xfId="0" applyFont="1" applyFill="1" applyBorder="1" applyAlignment="1" applyProtection="1">
      <alignment horizontal="center" vertical="center" wrapText="1"/>
    </xf>
    <xf numFmtId="0" fontId="4" fillId="7" borderId="22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</xf>
    <xf numFmtId="0" fontId="13" fillId="9" borderId="34" xfId="0" applyFont="1" applyFill="1" applyBorder="1" applyAlignment="1" applyProtection="1">
      <alignment horizontal="left" vertical="center" wrapText="1"/>
    </xf>
    <xf numFmtId="10" fontId="13" fillId="9" borderId="35" xfId="1" applyNumberFormat="1" applyFont="1" applyFill="1" applyBorder="1" applyAlignment="1" applyProtection="1">
      <alignment horizontal="center" vertical="center" wrapText="1"/>
    </xf>
    <xf numFmtId="0" fontId="9" fillId="2" borderId="0" xfId="0" applyFont="1" applyFill="1" applyAlignment="1" applyProtection="1">
      <alignment horizontal="center" vertical="center" wrapText="1"/>
    </xf>
    <xf numFmtId="10" fontId="9" fillId="2" borderId="13" xfId="1" applyNumberFormat="1" applyFont="1" applyFill="1" applyBorder="1" applyAlignment="1" applyProtection="1">
      <alignment horizontal="center" vertical="center" wrapText="1"/>
    </xf>
    <xf numFmtId="10" fontId="9" fillId="2" borderId="50" xfId="1" applyNumberFormat="1" applyFont="1" applyFill="1" applyBorder="1" applyAlignment="1" applyProtection="1">
      <alignment horizontal="center" vertical="center" wrapText="1"/>
    </xf>
    <xf numFmtId="10" fontId="9" fillId="2" borderId="48" xfId="1" applyNumberFormat="1" applyFont="1" applyFill="1" applyBorder="1" applyAlignment="1" applyProtection="1">
      <alignment horizontal="center" vertical="center" wrapText="1"/>
    </xf>
    <xf numFmtId="3" fontId="9" fillId="2" borderId="10" xfId="0" applyNumberFormat="1" applyFont="1" applyFill="1" applyBorder="1" applyAlignment="1" applyProtection="1">
      <alignment horizontal="left" vertical="center" wrapText="1"/>
    </xf>
    <xf numFmtId="3" fontId="9" fillId="2" borderId="20" xfId="0" applyNumberFormat="1" applyFont="1" applyFill="1" applyBorder="1" applyAlignment="1" applyProtection="1">
      <alignment horizontal="center" vertical="center" wrapText="1"/>
    </xf>
    <xf numFmtId="3" fontId="9" fillId="2" borderId="5" xfId="1" applyNumberFormat="1" applyFont="1" applyFill="1" applyBorder="1" applyAlignment="1" applyProtection="1">
      <alignment horizontal="center" vertical="center" wrapText="1"/>
    </xf>
    <xf numFmtId="3" fontId="9" fillId="2" borderId="0" xfId="0" applyNumberFormat="1" applyFont="1" applyFill="1" applyProtection="1"/>
    <xf numFmtId="10" fontId="9" fillId="6" borderId="29" xfId="1" applyNumberFormat="1" applyFont="1" applyFill="1" applyBorder="1" applyAlignment="1" applyProtection="1">
      <alignment horizontal="center" vertical="center" wrapText="1"/>
    </xf>
    <xf numFmtId="10" fontId="9" fillId="6" borderId="30" xfId="1" applyNumberFormat="1" applyFont="1" applyFill="1" applyBorder="1" applyAlignment="1" applyProtection="1">
      <alignment horizontal="center" vertical="center" wrapText="1"/>
    </xf>
    <xf numFmtId="10" fontId="9" fillId="2" borderId="0" xfId="1" applyNumberFormat="1" applyFont="1" applyFill="1" applyProtection="1"/>
    <xf numFmtId="0" fontId="9" fillId="6" borderId="28" xfId="0" applyFont="1" applyFill="1" applyBorder="1" applyAlignment="1" applyProtection="1">
      <alignment horizontal="left" vertical="center" wrapText="1"/>
    </xf>
    <xf numFmtId="4" fontId="9" fillId="6" borderId="29" xfId="0" applyNumberFormat="1" applyFont="1" applyFill="1" applyBorder="1" applyAlignment="1" applyProtection="1">
      <alignment horizontal="center" vertical="center" wrapText="1"/>
    </xf>
    <xf numFmtId="4" fontId="9" fillId="6" borderId="30" xfId="0" applyNumberFormat="1" applyFont="1" applyFill="1" applyBorder="1" applyAlignment="1" applyProtection="1">
      <alignment horizontal="center" vertical="center" wrapText="1"/>
    </xf>
    <xf numFmtId="4" fontId="9" fillId="6" borderId="28" xfId="0" applyNumberFormat="1" applyFont="1" applyFill="1" applyBorder="1" applyAlignment="1" applyProtection="1">
      <alignment horizontal="left" vertical="center" wrapText="1"/>
    </xf>
    <xf numFmtId="4" fontId="9" fillId="2" borderId="0" xfId="0" applyNumberFormat="1" applyFont="1" applyFill="1" applyProtection="1"/>
    <xf numFmtId="4" fontId="9" fillId="2" borderId="28" xfId="0" applyNumberFormat="1" applyFont="1" applyFill="1" applyBorder="1" applyAlignment="1" applyProtection="1">
      <alignment horizontal="left" vertical="center" wrapText="1"/>
    </xf>
    <xf numFmtId="3" fontId="9" fillId="6" borderId="28" xfId="0" applyNumberFormat="1" applyFont="1" applyFill="1" applyBorder="1" applyAlignment="1" applyProtection="1">
      <alignment horizontal="left" vertical="center" wrapText="1"/>
    </xf>
    <xf numFmtId="4" fontId="9" fillId="2" borderId="0" xfId="1" applyNumberFormat="1" applyFont="1" applyFill="1" applyProtection="1"/>
    <xf numFmtId="10" fontId="9" fillId="2" borderId="10" xfId="1" applyNumberFormat="1" applyFont="1" applyFill="1" applyBorder="1" applyAlignment="1" applyProtection="1">
      <alignment horizontal="left" vertical="center" wrapText="1"/>
    </xf>
    <xf numFmtId="3" fontId="9" fillId="2" borderId="20" xfId="1" applyNumberFormat="1" applyFont="1" applyFill="1" applyBorder="1" applyAlignment="1" applyProtection="1">
      <alignment horizontal="center" vertical="center" wrapText="1"/>
    </xf>
    <xf numFmtId="3" fontId="9" fillId="6" borderId="31" xfId="0" applyNumberFormat="1" applyFont="1" applyFill="1" applyBorder="1" applyAlignment="1" applyProtection="1">
      <alignment horizontal="left" vertical="center" wrapText="1"/>
    </xf>
    <xf numFmtId="10" fontId="9" fillId="6" borderId="32" xfId="1" applyNumberFormat="1" applyFont="1" applyFill="1" applyBorder="1" applyAlignment="1" applyProtection="1">
      <alignment horizontal="center" vertical="center" wrapText="1"/>
    </xf>
    <xf numFmtId="10" fontId="9" fillId="6" borderId="33" xfId="1" applyNumberFormat="1" applyFont="1" applyFill="1" applyBorder="1" applyAlignment="1" applyProtection="1">
      <alignment horizontal="center" vertical="center" wrapText="1"/>
    </xf>
    <xf numFmtId="0" fontId="9" fillId="6" borderId="11" xfId="0" applyFont="1" applyFill="1" applyBorder="1" applyAlignment="1" applyProtection="1">
      <alignment horizontal="left" vertical="center" wrapText="1"/>
    </xf>
    <xf numFmtId="4" fontId="9" fillId="6" borderId="21" xfId="0" applyNumberFormat="1" applyFont="1" applyFill="1" applyBorder="1" applyAlignment="1" applyProtection="1">
      <alignment horizontal="center" vertical="center" wrapText="1"/>
    </xf>
    <xf numFmtId="4" fontId="9" fillId="6" borderId="7" xfId="0" applyNumberFormat="1" applyFont="1" applyFill="1" applyBorder="1" applyAlignment="1" applyProtection="1">
      <alignment horizontal="center" vertical="center" wrapText="1"/>
    </xf>
    <xf numFmtId="3" fontId="9" fillId="2" borderId="0" xfId="1" applyNumberFormat="1" applyFont="1" applyFill="1" applyProtection="1"/>
    <xf numFmtId="3" fontId="9" fillId="2" borderId="11" xfId="0" applyNumberFormat="1" applyFont="1" applyFill="1" applyBorder="1" applyAlignment="1" applyProtection="1">
      <alignment horizontal="left" vertical="center" wrapText="1"/>
    </xf>
    <xf numFmtId="3" fontId="9" fillId="2" borderId="21" xfId="0" applyNumberFormat="1" applyFont="1" applyFill="1" applyBorder="1" applyAlignment="1" applyProtection="1">
      <alignment horizontal="center" vertical="center" wrapText="1"/>
    </xf>
    <xf numFmtId="3" fontId="9" fillId="2" borderId="7" xfId="0" applyNumberFormat="1" applyFont="1" applyFill="1" applyBorder="1" applyAlignment="1" applyProtection="1">
      <alignment horizontal="center" vertical="center" wrapText="1"/>
    </xf>
    <xf numFmtId="3" fontId="9" fillId="2" borderId="5" xfId="0" applyNumberFormat="1" applyFont="1" applyFill="1" applyBorder="1" applyAlignment="1" applyProtection="1">
      <alignment horizontal="center" vertical="center" wrapText="1"/>
    </xf>
    <xf numFmtId="3" fontId="9" fillId="6" borderId="10" xfId="0" applyNumberFormat="1" applyFont="1" applyFill="1" applyBorder="1" applyAlignment="1" applyProtection="1">
      <alignment horizontal="left" vertical="center" wrapText="1"/>
    </xf>
    <xf numFmtId="10" fontId="9" fillId="6" borderId="20" xfId="1" applyNumberFormat="1" applyFont="1" applyFill="1" applyBorder="1" applyAlignment="1" applyProtection="1">
      <alignment horizontal="center" vertical="center" wrapText="1"/>
    </xf>
    <xf numFmtId="10" fontId="9" fillId="6" borderId="5" xfId="1" applyNumberFormat="1" applyFont="1" applyFill="1" applyBorder="1" applyAlignment="1" applyProtection="1">
      <alignment horizontal="center" vertical="center" wrapText="1"/>
    </xf>
    <xf numFmtId="10" fontId="9" fillId="2" borderId="14" xfId="1" applyNumberFormat="1" applyFont="1" applyFill="1" applyBorder="1" applyAlignment="1" applyProtection="1">
      <alignment horizontal="center" vertical="center" wrapText="1"/>
    </xf>
    <xf numFmtId="10" fontId="9" fillId="2" borderId="51" xfId="1" applyNumberFormat="1" applyFont="1" applyFill="1" applyBorder="1" applyAlignment="1" applyProtection="1">
      <alignment horizontal="center" vertical="center" wrapText="1"/>
    </xf>
    <xf numFmtId="10" fontId="9" fillId="2" borderId="49" xfId="1" applyNumberFormat="1" applyFont="1" applyFill="1" applyBorder="1" applyAlignment="1" applyProtection="1">
      <alignment horizontal="center" vertical="center" wrapText="1"/>
    </xf>
    <xf numFmtId="0" fontId="4" fillId="6" borderId="39" xfId="0" applyFont="1" applyFill="1" applyBorder="1" applyAlignment="1" applyProtection="1">
      <alignment horizontal="center" vertical="center" wrapText="1"/>
    </xf>
    <xf numFmtId="0" fontId="4" fillId="6" borderId="40" xfId="0" applyFont="1" applyFill="1" applyBorder="1" applyAlignment="1" applyProtection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 wrapText="1"/>
    </xf>
    <xf numFmtId="0" fontId="9" fillId="2" borderId="37" xfId="0" applyFont="1" applyFill="1" applyBorder="1" applyAlignment="1" applyProtection="1">
      <alignment horizontal="center" vertical="center" wrapText="1"/>
    </xf>
    <xf numFmtId="0" fontId="9" fillId="2" borderId="42" xfId="0" applyFont="1" applyFill="1" applyBorder="1" applyAlignment="1" applyProtection="1">
      <alignment horizontal="center" vertical="center" wrapText="1"/>
    </xf>
    <xf numFmtId="0" fontId="8" fillId="7" borderId="45" xfId="0" applyFont="1" applyFill="1" applyBorder="1" applyAlignment="1" applyProtection="1">
      <alignment horizontal="center" vertical="center"/>
    </xf>
    <xf numFmtId="3" fontId="8" fillId="7" borderId="46" xfId="0" applyNumberFormat="1" applyFont="1" applyFill="1" applyBorder="1" applyAlignment="1" applyProtection="1">
      <alignment horizontal="center" vertical="center"/>
    </xf>
    <xf numFmtId="3" fontId="8" fillId="7" borderId="47" xfId="0" applyNumberFormat="1" applyFont="1" applyFill="1" applyBorder="1" applyAlignment="1" applyProtection="1">
      <alignment horizontal="center" vertical="center"/>
    </xf>
    <xf numFmtId="0" fontId="25" fillId="2" borderId="0" xfId="0" applyFont="1" applyFill="1" applyProtection="1"/>
    <xf numFmtId="0" fontId="22" fillId="2" borderId="0" xfId="0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 wrapText="1"/>
    </xf>
    <xf numFmtId="0" fontId="6" fillId="2" borderId="0" xfId="0" applyFont="1" applyFill="1" applyAlignment="1" applyProtection="1">
      <alignment horizontal="center"/>
    </xf>
    <xf numFmtId="4" fontId="6" fillId="2" borderId="57" xfId="0" applyNumberFormat="1" applyFont="1" applyFill="1" applyBorder="1" applyAlignment="1" applyProtection="1">
      <alignment horizontal="center"/>
      <protection locked="0"/>
    </xf>
    <xf numFmtId="3" fontId="6" fillId="2" borderId="57" xfId="0" applyNumberFormat="1" applyFont="1" applyFill="1" applyBorder="1" applyAlignment="1" applyProtection="1">
      <alignment horizontal="center"/>
      <protection locked="0"/>
    </xf>
    <xf numFmtId="3" fontId="6" fillId="2" borderId="58" xfId="0" applyNumberFormat="1" applyFont="1" applyFill="1" applyBorder="1" applyAlignment="1" applyProtection="1">
      <alignment horizontal="center"/>
      <protection locked="0"/>
    </xf>
    <xf numFmtId="0" fontId="4" fillId="7" borderId="55" xfId="0" applyFont="1" applyFill="1" applyBorder="1" applyProtection="1"/>
    <xf numFmtId="3" fontId="4" fillId="7" borderId="55" xfId="0" applyNumberFormat="1" applyFont="1" applyFill="1" applyBorder="1" applyAlignment="1" applyProtection="1">
      <alignment horizontal="center"/>
    </xf>
    <xf numFmtId="4" fontId="6" fillId="2" borderId="57" xfId="0" applyNumberFormat="1" applyFont="1" applyFill="1" applyBorder="1" applyProtection="1"/>
    <xf numFmtId="4" fontId="6" fillId="7" borderId="57" xfId="0" quotePrefix="1" applyNumberFormat="1" applyFont="1" applyFill="1" applyBorder="1" applyAlignment="1" applyProtection="1">
      <alignment horizontal="center"/>
    </xf>
    <xf numFmtId="4" fontId="4" fillId="2" borderId="57" xfId="0" applyNumberFormat="1" applyFont="1" applyFill="1" applyBorder="1" applyAlignment="1" applyProtection="1">
      <alignment horizontal="center"/>
    </xf>
    <xf numFmtId="0" fontId="6" fillId="2" borderId="57" xfId="0" applyFont="1" applyFill="1" applyBorder="1" applyProtection="1"/>
    <xf numFmtId="3" fontId="6" fillId="7" borderId="57" xfId="0" applyNumberFormat="1" applyFont="1" applyFill="1" applyBorder="1" applyAlignment="1" applyProtection="1">
      <alignment horizontal="center"/>
    </xf>
    <xf numFmtId="3" fontId="4" fillId="2" borderId="57" xfId="0" applyNumberFormat="1" applyFont="1" applyFill="1" applyBorder="1" applyAlignment="1" applyProtection="1">
      <alignment horizontal="center"/>
    </xf>
    <xf numFmtId="0" fontId="6" fillId="2" borderId="58" xfId="0" applyFont="1" applyFill="1" applyBorder="1" applyProtection="1"/>
    <xf numFmtId="3" fontId="6" fillId="7" borderId="58" xfId="0" applyNumberFormat="1" applyFont="1" applyFill="1" applyBorder="1" applyAlignment="1" applyProtection="1">
      <alignment horizontal="center"/>
    </xf>
    <xf numFmtId="3" fontId="4" fillId="2" borderId="58" xfId="0" applyNumberFormat="1" applyFont="1" applyFill="1" applyBorder="1" applyAlignment="1" applyProtection="1">
      <alignment horizontal="center"/>
    </xf>
    <xf numFmtId="0" fontId="4" fillId="7" borderId="55" xfId="0" quotePrefix="1" applyFont="1" applyFill="1" applyBorder="1" applyProtection="1"/>
    <xf numFmtId="4" fontId="4" fillId="7" borderId="57" xfId="0" applyNumberFormat="1" applyFont="1" applyFill="1" applyBorder="1" applyAlignment="1" applyProtection="1">
      <alignment horizontal="center"/>
    </xf>
    <xf numFmtId="3" fontId="4" fillId="7" borderId="57" xfId="0" applyNumberFormat="1" applyFont="1" applyFill="1" applyBorder="1" applyAlignment="1" applyProtection="1">
      <alignment horizontal="center"/>
    </xf>
    <xf numFmtId="3" fontId="4" fillId="7" borderId="58" xfId="0" applyNumberFormat="1" applyFont="1" applyFill="1" applyBorder="1" applyAlignment="1" applyProtection="1">
      <alignment horizontal="center"/>
    </xf>
    <xf numFmtId="4" fontId="4" fillId="2" borderId="57" xfId="0" quotePrefix="1" applyNumberFormat="1" applyFont="1" applyFill="1" applyBorder="1" applyAlignment="1" applyProtection="1">
      <alignment horizontal="center"/>
    </xf>
    <xf numFmtId="3" fontId="6" fillId="2" borderId="10" xfId="0" applyNumberFormat="1" applyFont="1" applyFill="1" applyBorder="1" applyAlignment="1">
      <alignment horizontal="left" vertical="center" wrapText="1"/>
    </xf>
    <xf numFmtId="3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20" xfId="0" applyNumberFormat="1" applyFont="1" applyFill="1" applyBorder="1" applyAlignment="1">
      <alignment horizontal="center" vertical="center" wrapText="1"/>
    </xf>
    <xf numFmtId="3" fontId="6" fillId="2" borderId="28" xfId="0" applyNumberFormat="1" applyFont="1" applyFill="1" applyBorder="1" applyAlignment="1">
      <alignment horizontal="left" vertical="center" wrapText="1"/>
    </xf>
    <xf numFmtId="3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29" xfId="0" applyNumberFormat="1" applyFont="1" applyFill="1" applyBorder="1" applyAlignment="1">
      <alignment horizontal="center" vertical="center" wrapText="1"/>
    </xf>
    <xf numFmtId="10" fontId="6" fillId="2" borderId="20" xfId="1" applyNumberFormat="1" applyFont="1" applyFill="1" applyBorder="1" applyAlignment="1" applyProtection="1">
      <alignment horizontal="center" vertical="center" wrapText="1"/>
      <protection locked="0"/>
    </xf>
    <xf numFmtId="10" fontId="6" fillId="2" borderId="5" xfId="1" applyNumberFormat="1" applyFont="1" applyFill="1" applyBorder="1" applyAlignment="1" applyProtection="1">
      <alignment horizontal="center" vertical="center" wrapText="1"/>
      <protection locked="0"/>
    </xf>
    <xf numFmtId="10" fontId="6" fillId="2" borderId="20" xfId="1" applyNumberFormat="1" applyFont="1" applyFill="1" applyBorder="1" applyAlignment="1">
      <alignment horizontal="center" vertical="center" wrapText="1"/>
    </xf>
    <xf numFmtId="4" fontId="6" fillId="2" borderId="28" xfId="1" applyNumberFormat="1" applyFont="1" applyFill="1" applyBorder="1" applyAlignment="1" applyProtection="1">
      <alignment horizontal="left" vertical="center" wrapText="1"/>
    </xf>
    <xf numFmtId="10" fontId="6" fillId="2" borderId="3" xfId="1" applyNumberFormat="1" applyFont="1" applyFill="1" applyBorder="1" applyAlignment="1" applyProtection="1">
      <alignment horizontal="center" vertical="center" wrapText="1"/>
    </xf>
    <xf numFmtId="4" fontId="6" fillId="2" borderId="29" xfId="1" applyNumberFormat="1" applyFont="1" applyFill="1" applyBorder="1" applyAlignment="1" applyProtection="1">
      <alignment horizontal="center" vertical="center" wrapText="1"/>
    </xf>
    <xf numFmtId="4" fontId="6" fillId="2" borderId="30" xfId="1" applyNumberFormat="1" applyFont="1" applyFill="1" applyBorder="1" applyAlignment="1" applyProtection="1">
      <alignment horizontal="center" vertical="center" wrapText="1"/>
    </xf>
    <xf numFmtId="3" fontId="6" fillId="2" borderId="54" xfId="1" applyNumberFormat="1" applyFont="1" applyFill="1" applyBorder="1" applyAlignment="1" applyProtection="1">
      <alignment horizontal="center" vertical="center" wrapText="1"/>
    </xf>
    <xf numFmtId="10" fontId="6" fillId="2" borderId="44" xfId="1" applyNumberFormat="1" applyFont="1" applyFill="1" applyBorder="1" applyAlignment="1" applyProtection="1">
      <alignment horizontal="center" vertical="center" wrapText="1"/>
    </xf>
    <xf numFmtId="10" fontId="6" fillId="2" borderId="30" xfId="1" applyNumberFormat="1" applyFont="1" applyFill="1" applyBorder="1" applyAlignment="1" applyProtection="1">
      <alignment horizontal="center" vertical="center" wrapText="1"/>
    </xf>
    <xf numFmtId="10" fontId="6" fillId="2" borderId="7" xfId="1" applyNumberFormat="1" applyFont="1" applyFill="1" applyBorder="1" applyAlignment="1" applyProtection="1">
      <alignment horizontal="center" vertical="center" wrapText="1"/>
    </xf>
    <xf numFmtId="3" fontId="9" fillId="12" borderId="30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44" xfId="1" applyNumberFormat="1" applyFont="1" applyFill="1" applyBorder="1" applyAlignment="1" applyProtection="1">
      <alignment horizontal="center" vertical="center" wrapText="1"/>
    </xf>
    <xf numFmtId="3" fontId="6" fillId="2" borderId="30" xfId="1" applyNumberFormat="1" applyFont="1" applyFill="1" applyBorder="1" applyAlignment="1" applyProtection="1">
      <alignment horizontal="center" vertical="center" wrapText="1"/>
    </xf>
    <xf numFmtId="0" fontId="11" fillId="8" borderId="12" xfId="0" applyFont="1" applyFill="1" applyBorder="1" applyAlignment="1" applyProtection="1">
      <alignment horizontal="center" vertical="center" textRotation="90" wrapText="1"/>
    </xf>
    <xf numFmtId="0" fontId="11" fillId="8" borderId="13" xfId="0" applyFont="1" applyFill="1" applyBorder="1" applyAlignment="1" applyProtection="1">
      <alignment horizontal="center" vertical="center" textRotation="90" wrapText="1"/>
    </xf>
    <xf numFmtId="0" fontId="11" fillId="8" borderId="14" xfId="0" applyFont="1" applyFill="1" applyBorder="1" applyAlignment="1" applyProtection="1">
      <alignment horizontal="center" vertical="center" textRotation="90" wrapText="1"/>
    </xf>
    <xf numFmtId="0" fontId="11" fillId="8" borderId="12" xfId="0" applyFont="1" applyFill="1" applyBorder="1" applyAlignment="1">
      <alignment horizontal="center" vertical="center" textRotation="90" wrapText="1"/>
    </xf>
    <xf numFmtId="0" fontId="11" fillId="8" borderId="13" xfId="0" applyFont="1" applyFill="1" applyBorder="1" applyAlignment="1">
      <alignment horizontal="center" vertical="center" textRotation="90" wrapText="1"/>
    </xf>
    <xf numFmtId="0" fontId="11" fillId="8" borderId="14" xfId="0" applyFont="1" applyFill="1" applyBorder="1" applyAlignment="1">
      <alignment horizontal="center" vertical="center" textRotation="90" wrapText="1"/>
    </xf>
    <xf numFmtId="0" fontId="22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1" fillId="11" borderId="12" xfId="0" applyFont="1" applyFill="1" applyBorder="1" applyAlignment="1" applyProtection="1">
      <alignment horizontal="center" vertical="center" textRotation="90" wrapText="1"/>
    </xf>
    <xf numFmtId="0" fontId="11" fillId="11" borderId="13" xfId="0" applyFont="1" applyFill="1" applyBorder="1" applyAlignment="1" applyProtection="1">
      <alignment horizontal="center" vertical="center" textRotation="90" wrapText="1"/>
    </xf>
    <xf numFmtId="0" fontId="11" fillId="11" borderId="14" xfId="0" applyFont="1" applyFill="1" applyBorder="1" applyAlignment="1" applyProtection="1">
      <alignment horizontal="center" vertical="center" textRotation="90" wrapText="1"/>
    </xf>
    <xf numFmtId="0" fontId="11" fillId="11" borderId="12" xfId="0" applyFont="1" applyFill="1" applyBorder="1" applyAlignment="1">
      <alignment horizontal="center" vertical="center" textRotation="90" wrapText="1"/>
    </xf>
    <xf numFmtId="0" fontId="11" fillId="11" borderId="13" xfId="0" applyFont="1" applyFill="1" applyBorder="1" applyAlignment="1">
      <alignment horizontal="center" vertical="center" textRotation="90" wrapText="1"/>
    </xf>
    <xf numFmtId="0" fontId="11" fillId="11" borderId="14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6" fillId="4" borderId="2" xfId="0" applyFont="1" applyFill="1" applyBorder="1" applyAlignment="1" applyProtection="1">
      <alignment horizontal="center"/>
    </xf>
    <xf numFmtId="0" fontId="6" fillId="4" borderId="16" xfId="0" applyFont="1" applyFill="1" applyBorder="1" applyAlignment="1" applyProtection="1">
      <alignment horizontal="center"/>
    </xf>
    <xf numFmtId="0" fontId="6" fillId="4" borderId="4" xfId="0" applyFont="1" applyFill="1" applyBorder="1" applyAlignment="1" applyProtection="1">
      <alignment horizontal="center"/>
    </xf>
    <xf numFmtId="0" fontId="6" fillId="4" borderId="17" xfId="0" applyFont="1" applyFill="1" applyBorder="1" applyAlignment="1" applyProtection="1">
      <alignment horizontal="center"/>
    </xf>
    <xf numFmtId="0" fontId="6" fillId="4" borderId="6" xfId="0" applyFont="1" applyFill="1" applyBorder="1" applyAlignment="1" applyProtection="1">
      <alignment horizontal="center"/>
    </xf>
    <xf numFmtId="0" fontId="6" fillId="4" borderId="18" xfId="0" applyFont="1" applyFill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center"/>
    </xf>
    <xf numFmtId="0" fontId="6" fillId="5" borderId="5" xfId="0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0" fontId="6" fillId="5" borderId="7" xfId="0" applyFont="1" applyFill="1" applyBorder="1" applyAlignment="1" applyProtection="1">
      <alignment horizontal="center"/>
    </xf>
    <xf numFmtId="0" fontId="6" fillId="6" borderId="2" xfId="0" applyFont="1" applyFill="1" applyBorder="1" applyAlignment="1" applyProtection="1">
      <alignment horizontal="center"/>
    </xf>
    <xf numFmtId="0" fontId="6" fillId="6" borderId="3" xfId="0" applyFont="1" applyFill="1" applyBorder="1" applyAlignment="1" applyProtection="1">
      <alignment horizontal="center"/>
    </xf>
    <xf numFmtId="0" fontId="6" fillId="6" borderId="4" xfId="0" applyFont="1" applyFill="1" applyBorder="1" applyAlignment="1" applyProtection="1">
      <alignment horizontal="center"/>
    </xf>
    <xf numFmtId="0" fontId="6" fillId="6" borderId="5" xfId="0" applyFont="1" applyFill="1" applyBorder="1" applyAlignment="1" applyProtection="1">
      <alignment horizontal="center"/>
    </xf>
    <xf numFmtId="0" fontId="6" fillId="6" borderId="6" xfId="0" applyFont="1" applyFill="1" applyBorder="1" applyAlignment="1" applyProtection="1">
      <alignment horizontal="center"/>
    </xf>
    <xf numFmtId="0" fontId="6" fillId="6" borderId="7" xfId="0" applyFont="1" applyFill="1" applyBorder="1" applyAlignment="1" applyProtection="1">
      <alignment horizontal="center"/>
    </xf>
    <xf numFmtId="0" fontId="6" fillId="3" borderId="1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6" fillId="3" borderId="20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/>
    </xf>
    <xf numFmtId="0" fontId="11" fillId="10" borderId="12" xfId="0" applyFont="1" applyFill="1" applyBorder="1" applyAlignment="1" applyProtection="1">
      <alignment horizontal="center" vertical="center" textRotation="90" wrapText="1"/>
    </xf>
    <xf numFmtId="0" fontId="11" fillId="10" borderId="13" xfId="0" applyFont="1" applyFill="1" applyBorder="1" applyAlignment="1" applyProtection="1">
      <alignment horizontal="center" vertical="center" textRotation="90" wrapText="1"/>
    </xf>
    <xf numFmtId="0" fontId="11" fillId="10" borderId="14" xfId="0" applyFont="1" applyFill="1" applyBorder="1" applyAlignment="1" applyProtection="1">
      <alignment horizontal="center" vertical="center" textRotation="90" wrapText="1"/>
    </xf>
    <xf numFmtId="0" fontId="11" fillId="10" borderId="9" xfId="0" applyFont="1" applyFill="1" applyBorder="1" applyAlignment="1" applyProtection="1">
      <alignment horizontal="center" vertical="center" textRotation="90" wrapText="1"/>
    </xf>
    <xf numFmtId="0" fontId="11" fillId="10" borderId="10" xfId="0" applyFont="1" applyFill="1" applyBorder="1" applyAlignment="1" applyProtection="1">
      <alignment horizontal="center" vertical="center" textRotation="90" wrapText="1"/>
    </xf>
    <xf numFmtId="0" fontId="11" fillId="10" borderId="11" xfId="0" applyFont="1" applyFill="1" applyBorder="1" applyAlignment="1" applyProtection="1">
      <alignment horizontal="center" vertical="center" textRotation="90" wrapText="1"/>
    </xf>
    <xf numFmtId="0" fontId="23" fillId="5" borderId="2" xfId="0" applyFont="1" applyFill="1" applyBorder="1" applyAlignment="1" applyProtection="1">
      <alignment horizontal="center"/>
    </xf>
    <xf numFmtId="0" fontId="23" fillId="5" borderId="3" xfId="0" applyFont="1" applyFill="1" applyBorder="1" applyAlignment="1" applyProtection="1">
      <alignment horizontal="center"/>
    </xf>
    <xf numFmtId="0" fontId="23" fillId="5" borderId="4" xfId="0" applyFont="1" applyFill="1" applyBorder="1" applyAlignment="1" applyProtection="1">
      <alignment horizontal="center"/>
    </xf>
    <xf numFmtId="0" fontId="23" fillId="5" borderId="5" xfId="0" applyFont="1" applyFill="1" applyBorder="1" applyAlignment="1" applyProtection="1">
      <alignment horizontal="center"/>
    </xf>
    <xf numFmtId="0" fontId="23" fillId="5" borderId="6" xfId="0" applyFont="1" applyFill="1" applyBorder="1" applyAlignment="1" applyProtection="1">
      <alignment horizontal="center"/>
    </xf>
    <xf numFmtId="0" fontId="23" fillId="5" borderId="7" xfId="0" applyFont="1" applyFill="1" applyBorder="1" applyAlignment="1" applyProtection="1">
      <alignment horizontal="center"/>
    </xf>
    <xf numFmtId="0" fontId="10" fillId="10" borderId="12" xfId="0" applyFont="1" applyFill="1" applyBorder="1" applyAlignment="1" applyProtection="1">
      <alignment horizontal="center" vertical="center" textRotation="90" wrapText="1"/>
    </xf>
    <xf numFmtId="0" fontId="10" fillId="10" borderId="13" xfId="0" applyFont="1" applyFill="1" applyBorder="1" applyAlignment="1" applyProtection="1">
      <alignment horizontal="center" vertical="center" textRotation="90" wrapText="1"/>
    </xf>
    <xf numFmtId="0" fontId="10" fillId="10" borderId="14" xfId="0" applyFont="1" applyFill="1" applyBorder="1" applyAlignment="1" applyProtection="1">
      <alignment horizontal="center" vertical="center" textRotation="90" wrapText="1"/>
    </xf>
    <xf numFmtId="0" fontId="11" fillId="10" borderId="9" xfId="0" applyFont="1" applyFill="1" applyBorder="1" applyAlignment="1">
      <alignment horizontal="center" vertical="center" textRotation="90" wrapText="1"/>
    </xf>
    <xf numFmtId="0" fontId="11" fillId="10" borderId="10" xfId="0" applyFont="1" applyFill="1" applyBorder="1" applyAlignment="1">
      <alignment horizontal="center" vertical="center" textRotation="90" wrapText="1"/>
    </xf>
    <xf numFmtId="0" fontId="11" fillId="10" borderId="11" xfId="0" applyFont="1" applyFill="1" applyBorder="1" applyAlignment="1">
      <alignment horizontal="center" vertical="center" textRotation="90" wrapText="1"/>
    </xf>
    <xf numFmtId="0" fontId="6" fillId="4" borderId="56" xfId="0" applyFont="1" applyFill="1" applyBorder="1" applyAlignment="1" applyProtection="1">
      <alignment horizontal="center"/>
    </xf>
    <xf numFmtId="0" fontId="6" fillId="4" borderId="57" xfId="0" applyFont="1" applyFill="1" applyBorder="1" applyAlignment="1" applyProtection="1">
      <alignment horizontal="center"/>
    </xf>
    <xf numFmtId="0" fontId="6" fillId="4" borderId="58" xfId="0" applyFont="1" applyFill="1" applyBorder="1" applyAlignment="1" applyProtection="1">
      <alignment horizontal="center"/>
    </xf>
    <xf numFmtId="0" fontId="6" fillId="5" borderId="56" xfId="0" applyFont="1" applyFill="1" applyBorder="1" applyAlignment="1" applyProtection="1">
      <alignment horizontal="center"/>
    </xf>
    <xf numFmtId="0" fontId="6" fillId="5" borderId="57" xfId="0" applyFont="1" applyFill="1" applyBorder="1" applyAlignment="1" applyProtection="1">
      <alignment horizontal="center"/>
    </xf>
    <xf numFmtId="0" fontId="6" fillId="5" borderId="58" xfId="0" applyFont="1" applyFill="1" applyBorder="1" applyAlignment="1" applyProtection="1">
      <alignment horizontal="center"/>
    </xf>
    <xf numFmtId="0" fontId="6" fillId="6" borderId="56" xfId="0" applyFont="1" applyFill="1" applyBorder="1" applyAlignment="1" applyProtection="1">
      <alignment horizontal="center"/>
    </xf>
    <xf numFmtId="0" fontId="6" fillId="6" borderId="57" xfId="0" applyFont="1" applyFill="1" applyBorder="1" applyAlignment="1" applyProtection="1">
      <alignment horizontal="center"/>
    </xf>
    <xf numFmtId="0" fontId="6" fillId="6" borderId="58" xfId="0" applyFont="1" applyFill="1" applyBorder="1" applyAlignment="1" applyProtection="1">
      <alignment horizontal="center"/>
    </xf>
    <xf numFmtId="0" fontId="6" fillId="3" borderId="56" xfId="0" applyFont="1" applyFill="1" applyBorder="1" applyAlignment="1" applyProtection="1">
      <alignment horizontal="center"/>
    </xf>
    <xf numFmtId="0" fontId="6" fillId="3" borderId="57" xfId="0" applyFont="1" applyFill="1" applyBorder="1" applyAlignment="1" applyProtection="1">
      <alignment horizontal="center"/>
    </xf>
    <xf numFmtId="0" fontId="6" fillId="3" borderId="58" xfId="0" applyFont="1" applyFill="1" applyBorder="1" applyAlignment="1" applyProtection="1">
      <alignment horizontal="center"/>
    </xf>
  </cellXfs>
  <cellStyles count="2">
    <cellStyle name="Normal" xfId="0" builtinId="0"/>
    <cellStyle name="Porcentaje" xfId="1" builtinId="5"/>
  </cellStyles>
  <dxfs count="172"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70C0"/>
      </font>
    </dxf>
  </dxfs>
  <tableStyles count="0" defaultTableStyle="TableStyleMedium2" defaultPivotStyle="PivotStyleLight16"/>
  <colors>
    <mruColors>
      <color rgb="FF9AE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406109</xdr:colOff>
      <xdr:row>8</xdr:row>
      <xdr:rowOff>133350</xdr:rowOff>
    </xdr:from>
    <xdr:to>
      <xdr:col>4</xdr:col>
      <xdr:colOff>373032</xdr:colOff>
      <xdr:row>13</xdr:row>
      <xdr:rowOff>28575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484" y="1905000"/>
          <a:ext cx="786073" cy="8477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370658</xdr:colOff>
      <xdr:row>8</xdr:row>
      <xdr:rowOff>140528</xdr:rowOff>
    </xdr:from>
    <xdr:to>
      <xdr:col>6</xdr:col>
      <xdr:colOff>446585</xdr:colOff>
      <xdr:row>13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033" y="1912178"/>
          <a:ext cx="837927" cy="8500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54773</xdr:rowOff>
    </xdr:from>
    <xdr:to>
      <xdr:col>8</xdr:col>
      <xdr:colOff>609600</xdr:colOff>
      <xdr:row>12</xdr:row>
      <xdr:rowOff>161925</xdr:rowOff>
    </xdr:to>
    <xdr:pic>
      <xdr:nvPicPr>
        <xdr:cNvPr id="4" name="3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7324725" y="2016923"/>
          <a:ext cx="1238250" cy="67865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314326</xdr:colOff>
      <xdr:row>8</xdr:row>
      <xdr:rowOff>171600</xdr:rowOff>
    </xdr:from>
    <xdr:to>
      <xdr:col>10</xdr:col>
      <xdr:colOff>600077</xdr:colOff>
      <xdr:row>13</xdr:row>
      <xdr:rowOff>38100</xdr:rowOff>
    </xdr:to>
    <xdr:pic>
      <xdr:nvPicPr>
        <xdr:cNvPr id="5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1" y="1943250"/>
          <a:ext cx="1162050" cy="819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11" name="10 Conector recto"/>
        <xdr:cNvCxnSpPr/>
      </xdr:nvCxnSpPr>
      <xdr:spPr>
        <a:xfrm>
          <a:off x="471487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638174</xdr:colOff>
      <xdr:row>4</xdr:row>
      <xdr:rowOff>28575</xdr:rowOff>
    </xdr:from>
    <xdr:to>
      <xdr:col>10</xdr:col>
      <xdr:colOff>857249</xdr:colOff>
      <xdr:row>4</xdr:row>
      <xdr:rowOff>323850</xdr:rowOff>
    </xdr:to>
    <xdr:sp macro="" textlink="">
      <xdr:nvSpPr>
        <xdr:cNvPr id="13" name="12 Rectángulo redondeado"/>
        <xdr:cNvSpPr/>
      </xdr:nvSpPr>
      <xdr:spPr>
        <a:xfrm>
          <a:off x="7010399" y="1152525"/>
          <a:ext cx="3381375" cy="295275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638175</xdr:colOff>
      <xdr:row>5</xdr:row>
      <xdr:rowOff>114300</xdr:rowOff>
    </xdr:from>
    <xdr:to>
      <xdr:col>10</xdr:col>
      <xdr:colOff>866775</xdr:colOff>
      <xdr:row>7</xdr:row>
      <xdr:rowOff>38100</xdr:rowOff>
    </xdr:to>
    <xdr:sp macro="" textlink="">
      <xdr:nvSpPr>
        <xdr:cNvPr id="14" name="13 Rectángulo redondeado"/>
        <xdr:cNvSpPr/>
      </xdr:nvSpPr>
      <xdr:spPr>
        <a:xfrm>
          <a:off x="7010400" y="1533525"/>
          <a:ext cx="3390900" cy="26670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15" name="14 Conector recto"/>
        <xdr:cNvCxnSpPr/>
      </xdr:nvCxnSpPr>
      <xdr:spPr>
        <a:xfrm>
          <a:off x="481012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406109</xdr:colOff>
      <xdr:row>8</xdr:row>
      <xdr:rowOff>133350</xdr:rowOff>
    </xdr:from>
    <xdr:to>
      <xdr:col>4</xdr:col>
      <xdr:colOff>411132</xdr:colOff>
      <xdr:row>13</xdr:row>
      <xdr:rowOff>28575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4234" y="2114550"/>
          <a:ext cx="786073" cy="8477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370658</xdr:colOff>
      <xdr:row>8</xdr:row>
      <xdr:rowOff>140528</xdr:rowOff>
    </xdr:from>
    <xdr:to>
      <xdr:col>6</xdr:col>
      <xdr:colOff>446585</xdr:colOff>
      <xdr:row>13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0883" y="2121728"/>
          <a:ext cx="837927" cy="8500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54773</xdr:rowOff>
    </xdr:from>
    <xdr:to>
      <xdr:col>8</xdr:col>
      <xdr:colOff>609600</xdr:colOff>
      <xdr:row>12</xdr:row>
      <xdr:rowOff>161925</xdr:rowOff>
    </xdr:to>
    <xdr:pic>
      <xdr:nvPicPr>
        <xdr:cNvPr id="4" name="3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7267575" y="2226473"/>
          <a:ext cx="1238250" cy="67865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314326</xdr:colOff>
      <xdr:row>8</xdr:row>
      <xdr:rowOff>171600</xdr:rowOff>
    </xdr:from>
    <xdr:to>
      <xdr:col>10</xdr:col>
      <xdr:colOff>600076</xdr:colOff>
      <xdr:row>13</xdr:row>
      <xdr:rowOff>38100</xdr:rowOff>
    </xdr:to>
    <xdr:pic>
      <xdr:nvPicPr>
        <xdr:cNvPr id="5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1" y="2152800"/>
          <a:ext cx="1162050" cy="819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6" name="5 Conector recto"/>
        <xdr:cNvCxnSpPr/>
      </xdr:nvCxnSpPr>
      <xdr:spPr>
        <a:xfrm>
          <a:off x="471487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638174</xdr:colOff>
      <xdr:row>4</xdr:row>
      <xdr:rowOff>28575</xdr:rowOff>
    </xdr:from>
    <xdr:to>
      <xdr:col>10</xdr:col>
      <xdr:colOff>857249</xdr:colOff>
      <xdr:row>4</xdr:row>
      <xdr:rowOff>323850</xdr:rowOff>
    </xdr:to>
    <xdr:sp macro="" textlink="">
      <xdr:nvSpPr>
        <xdr:cNvPr id="7" name="6 Rectángulo redondeado"/>
        <xdr:cNvSpPr/>
      </xdr:nvSpPr>
      <xdr:spPr>
        <a:xfrm>
          <a:off x="7010399" y="1152525"/>
          <a:ext cx="3381375" cy="295275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638175</xdr:colOff>
      <xdr:row>5</xdr:row>
      <xdr:rowOff>114300</xdr:rowOff>
    </xdr:from>
    <xdr:to>
      <xdr:col>10</xdr:col>
      <xdr:colOff>866775</xdr:colOff>
      <xdr:row>7</xdr:row>
      <xdr:rowOff>38100</xdr:rowOff>
    </xdr:to>
    <xdr:sp macro="" textlink="">
      <xdr:nvSpPr>
        <xdr:cNvPr id="8" name="7 Rectángulo redondeado"/>
        <xdr:cNvSpPr/>
      </xdr:nvSpPr>
      <xdr:spPr>
        <a:xfrm>
          <a:off x="7010400" y="1552575"/>
          <a:ext cx="3390900" cy="2857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9" name="8 Conector recto"/>
        <xdr:cNvCxnSpPr/>
      </xdr:nvCxnSpPr>
      <xdr:spPr>
        <a:xfrm>
          <a:off x="471487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406109</xdr:colOff>
      <xdr:row>8</xdr:row>
      <xdr:rowOff>133350</xdr:rowOff>
    </xdr:from>
    <xdr:to>
      <xdr:col>4</xdr:col>
      <xdr:colOff>373032</xdr:colOff>
      <xdr:row>13</xdr:row>
      <xdr:rowOff>28575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4234" y="2114550"/>
          <a:ext cx="786073" cy="8477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370658</xdr:colOff>
      <xdr:row>8</xdr:row>
      <xdr:rowOff>140528</xdr:rowOff>
    </xdr:from>
    <xdr:to>
      <xdr:col>6</xdr:col>
      <xdr:colOff>446585</xdr:colOff>
      <xdr:row>13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0883" y="2121728"/>
          <a:ext cx="837927" cy="8500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54773</xdr:rowOff>
    </xdr:from>
    <xdr:to>
      <xdr:col>8</xdr:col>
      <xdr:colOff>609600</xdr:colOff>
      <xdr:row>12</xdr:row>
      <xdr:rowOff>161925</xdr:rowOff>
    </xdr:to>
    <xdr:pic>
      <xdr:nvPicPr>
        <xdr:cNvPr id="4" name="3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7267575" y="2226473"/>
          <a:ext cx="1238250" cy="67865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314326</xdr:colOff>
      <xdr:row>8</xdr:row>
      <xdr:rowOff>171600</xdr:rowOff>
    </xdr:from>
    <xdr:to>
      <xdr:col>10</xdr:col>
      <xdr:colOff>600076</xdr:colOff>
      <xdr:row>13</xdr:row>
      <xdr:rowOff>38100</xdr:rowOff>
    </xdr:to>
    <xdr:pic>
      <xdr:nvPicPr>
        <xdr:cNvPr id="5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1" y="2152800"/>
          <a:ext cx="1162050" cy="819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6" name="5 Conector recto"/>
        <xdr:cNvCxnSpPr/>
      </xdr:nvCxnSpPr>
      <xdr:spPr>
        <a:xfrm>
          <a:off x="471487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638174</xdr:colOff>
      <xdr:row>4</xdr:row>
      <xdr:rowOff>28575</xdr:rowOff>
    </xdr:from>
    <xdr:to>
      <xdr:col>10</xdr:col>
      <xdr:colOff>857249</xdr:colOff>
      <xdr:row>4</xdr:row>
      <xdr:rowOff>323850</xdr:rowOff>
    </xdr:to>
    <xdr:sp macro="" textlink="">
      <xdr:nvSpPr>
        <xdr:cNvPr id="7" name="6 Rectángulo redondeado"/>
        <xdr:cNvSpPr/>
      </xdr:nvSpPr>
      <xdr:spPr>
        <a:xfrm>
          <a:off x="7010399" y="1152525"/>
          <a:ext cx="3381375" cy="295275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638175</xdr:colOff>
      <xdr:row>5</xdr:row>
      <xdr:rowOff>114300</xdr:rowOff>
    </xdr:from>
    <xdr:to>
      <xdr:col>10</xdr:col>
      <xdr:colOff>866775</xdr:colOff>
      <xdr:row>7</xdr:row>
      <xdr:rowOff>38100</xdr:rowOff>
    </xdr:to>
    <xdr:sp macro="" textlink="">
      <xdr:nvSpPr>
        <xdr:cNvPr id="8" name="7 Rectángulo redondeado"/>
        <xdr:cNvSpPr/>
      </xdr:nvSpPr>
      <xdr:spPr>
        <a:xfrm>
          <a:off x="7010400" y="1552575"/>
          <a:ext cx="3390900" cy="2857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9" name="8 Conector recto"/>
        <xdr:cNvCxnSpPr/>
      </xdr:nvCxnSpPr>
      <xdr:spPr>
        <a:xfrm>
          <a:off x="471487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406109</xdr:colOff>
      <xdr:row>8</xdr:row>
      <xdr:rowOff>142875</xdr:rowOff>
    </xdr:from>
    <xdr:to>
      <xdr:col>4</xdr:col>
      <xdr:colOff>238124</xdr:colOff>
      <xdr:row>13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484" y="1914525"/>
          <a:ext cx="746415" cy="8477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303983</xdr:colOff>
      <xdr:row>8</xdr:row>
      <xdr:rowOff>140528</xdr:rowOff>
    </xdr:from>
    <xdr:to>
      <xdr:col>6</xdr:col>
      <xdr:colOff>304800</xdr:colOff>
      <xdr:row>13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0883" y="1912178"/>
          <a:ext cx="915217" cy="8500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9525</xdr:rowOff>
    </xdr:from>
    <xdr:to>
      <xdr:col>8</xdr:col>
      <xdr:colOff>457200</xdr:colOff>
      <xdr:row>12</xdr:row>
      <xdr:rowOff>161925</xdr:rowOff>
    </xdr:to>
    <xdr:pic>
      <xdr:nvPicPr>
        <xdr:cNvPr id="5" name="4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7343775" y="1971675"/>
          <a:ext cx="1238250" cy="7239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190501</xdr:colOff>
      <xdr:row>8</xdr:row>
      <xdr:rowOff>162075</xdr:rowOff>
    </xdr:from>
    <xdr:to>
      <xdr:col>10</xdr:col>
      <xdr:colOff>438151</xdr:colOff>
      <xdr:row>13</xdr:row>
      <xdr:rowOff>28575</xdr:rowOff>
    </xdr:to>
    <xdr:pic>
      <xdr:nvPicPr>
        <xdr:cNvPr id="6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1" y="1933725"/>
          <a:ext cx="1162050" cy="819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514350</xdr:colOff>
      <xdr:row>4</xdr:row>
      <xdr:rowOff>28575</xdr:rowOff>
    </xdr:from>
    <xdr:to>
      <xdr:col>10</xdr:col>
      <xdr:colOff>619124</xdr:colOff>
      <xdr:row>4</xdr:row>
      <xdr:rowOff>314325</xdr:rowOff>
    </xdr:to>
    <xdr:sp macro="" textlink="">
      <xdr:nvSpPr>
        <xdr:cNvPr id="8" name="7 Rectángulo redondeado"/>
        <xdr:cNvSpPr/>
      </xdr:nvSpPr>
      <xdr:spPr>
        <a:xfrm>
          <a:off x="7105650" y="1152525"/>
          <a:ext cx="3171824" cy="2857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514350</xdr:colOff>
      <xdr:row>6</xdr:row>
      <xdr:rowOff>0</xdr:rowOff>
    </xdr:from>
    <xdr:to>
      <xdr:col>11</xdr:col>
      <xdr:colOff>0</xdr:colOff>
      <xdr:row>7</xdr:row>
      <xdr:rowOff>38100</xdr:rowOff>
    </xdr:to>
    <xdr:sp macro="" textlink="">
      <xdr:nvSpPr>
        <xdr:cNvPr id="9" name="8 Rectángulo redondeado"/>
        <xdr:cNvSpPr/>
      </xdr:nvSpPr>
      <xdr:spPr>
        <a:xfrm>
          <a:off x="7105650" y="1485900"/>
          <a:ext cx="3171825" cy="2476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10" name="9 Conector recto"/>
        <xdr:cNvCxnSpPr/>
      </xdr:nvCxnSpPr>
      <xdr:spPr>
        <a:xfrm>
          <a:off x="471487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406109</xdr:colOff>
      <xdr:row>8</xdr:row>
      <xdr:rowOff>142875</xdr:rowOff>
    </xdr:from>
    <xdr:to>
      <xdr:col>4</xdr:col>
      <xdr:colOff>238124</xdr:colOff>
      <xdr:row>13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484" y="2114550"/>
          <a:ext cx="746415" cy="8477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303983</xdr:colOff>
      <xdr:row>8</xdr:row>
      <xdr:rowOff>140528</xdr:rowOff>
    </xdr:from>
    <xdr:to>
      <xdr:col>6</xdr:col>
      <xdr:colOff>304800</xdr:colOff>
      <xdr:row>13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0883" y="2112203"/>
          <a:ext cx="915217" cy="8500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9525</xdr:rowOff>
    </xdr:from>
    <xdr:to>
      <xdr:col>8</xdr:col>
      <xdr:colOff>457200</xdr:colOff>
      <xdr:row>12</xdr:row>
      <xdr:rowOff>161925</xdr:rowOff>
    </xdr:to>
    <xdr:pic>
      <xdr:nvPicPr>
        <xdr:cNvPr id="4" name="3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7343775" y="2171700"/>
          <a:ext cx="1238250" cy="7239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190501</xdr:colOff>
      <xdr:row>8</xdr:row>
      <xdr:rowOff>162075</xdr:rowOff>
    </xdr:from>
    <xdr:to>
      <xdr:col>10</xdr:col>
      <xdr:colOff>438151</xdr:colOff>
      <xdr:row>13</xdr:row>
      <xdr:rowOff>28575</xdr:rowOff>
    </xdr:to>
    <xdr:pic>
      <xdr:nvPicPr>
        <xdr:cNvPr id="5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1" y="2133750"/>
          <a:ext cx="1162050" cy="819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514350</xdr:colOff>
      <xdr:row>4</xdr:row>
      <xdr:rowOff>28575</xdr:rowOff>
    </xdr:from>
    <xdr:to>
      <xdr:col>10</xdr:col>
      <xdr:colOff>619124</xdr:colOff>
      <xdr:row>4</xdr:row>
      <xdr:rowOff>314325</xdr:rowOff>
    </xdr:to>
    <xdr:sp macro="" textlink="">
      <xdr:nvSpPr>
        <xdr:cNvPr id="6" name="5 Rectángulo redondeado"/>
        <xdr:cNvSpPr/>
      </xdr:nvSpPr>
      <xdr:spPr>
        <a:xfrm>
          <a:off x="7105650" y="1152525"/>
          <a:ext cx="3171824" cy="2857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514350</xdr:colOff>
      <xdr:row>6</xdr:row>
      <xdr:rowOff>0</xdr:rowOff>
    </xdr:from>
    <xdr:to>
      <xdr:col>11</xdr:col>
      <xdr:colOff>0</xdr:colOff>
      <xdr:row>7</xdr:row>
      <xdr:rowOff>38100</xdr:rowOff>
    </xdr:to>
    <xdr:sp macro="" textlink="">
      <xdr:nvSpPr>
        <xdr:cNvPr id="7" name="6 Rectángulo redondeado"/>
        <xdr:cNvSpPr/>
      </xdr:nvSpPr>
      <xdr:spPr>
        <a:xfrm>
          <a:off x="7105650" y="1552575"/>
          <a:ext cx="3171825" cy="276225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8" name="7 Conector recto"/>
        <xdr:cNvCxnSpPr/>
      </xdr:nvCxnSpPr>
      <xdr:spPr>
        <a:xfrm>
          <a:off x="481012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406109</xdr:colOff>
      <xdr:row>8</xdr:row>
      <xdr:rowOff>142875</xdr:rowOff>
    </xdr:from>
    <xdr:to>
      <xdr:col>4</xdr:col>
      <xdr:colOff>238124</xdr:colOff>
      <xdr:row>13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484" y="2114550"/>
          <a:ext cx="746415" cy="8477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303983</xdr:colOff>
      <xdr:row>8</xdr:row>
      <xdr:rowOff>140528</xdr:rowOff>
    </xdr:from>
    <xdr:to>
      <xdr:col>6</xdr:col>
      <xdr:colOff>304800</xdr:colOff>
      <xdr:row>13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0883" y="2112203"/>
          <a:ext cx="915217" cy="8500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9525</xdr:rowOff>
    </xdr:from>
    <xdr:to>
      <xdr:col>8</xdr:col>
      <xdr:colOff>457200</xdr:colOff>
      <xdr:row>12</xdr:row>
      <xdr:rowOff>161925</xdr:rowOff>
    </xdr:to>
    <xdr:pic>
      <xdr:nvPicPr>
        <xdr:cNvPr id="4" name="3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7343775" y="2171700"/>
          <a:ext cx="1238250" cy="7239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190501</xdr:colOff>
      <xdr:row>8</xdr:row>
      <xdr:rowOff>162075</xdr:rowOff>
    </xdr:from>
    <xdr:to>
      <xdr:col>10</xdr:col>
      <xdr:colOff>438151</xdr:colOff>
      <xdr:row>13</xdr:row>
      <xdr:rowOff>28575</xdr:rowOff>
    </xdr:to>
    <xdr:pic>
      <xdr:nvPicPr>
        <xdr:cNvPr id="5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1" y="2133750"/>
          <a:ext cx="1162050" cy="819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514350</xdr:colOff>
      <xdr:row>4</xdr:row>
      <xdr:rowOff>28575</xdr:rowOff>
    </xdr:from>
    <xdr:to>
      <xdr:col>10</xdr:col>
      <xdr:colOff>619124</xdr:colOff>
      <xdr:row>4</xdr:row>
      <xdr:rowOff>314325</xdr:rowOff>
    </xdr:to>
    <xdr:sp macro="" textlink="">
      <xdr:nvSpPr>
        <xdr:cNvPr id="6" name="5 Rectángulo redondeado"/>
        <xdr:cNvSpPr/>
      </xdr:nvSpPr>
      <xdr:spPr>
        <a:xfrm>
          <a:off x="7105650" y="1152525"/>
          <a:ext cx="3171824" cy="2857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514350</xdr:colOff>
      <xdr:row>6</xdr:row>
      <xdr:rowOff>0</xdr:rowOff>
    </xdr:from>
    <xdr:to>
      <xdr:col>11</xdr:col>
      <xdr:colOff>0</xdr:colOff>
      <xdr:row>7</xdr:row>
      <xdr:rowOff>38100</xdr:rowOff>
    </xdr:to>
    <xdr:sp macro="" textlink="">
      <xdr:nvSpPr>
        <xdr:cNvPr id="7" name="6 Rectángulo redondeado"/>
        <xdr:cNvSpPr/>
      </xdr:nvSpPr>
      <xdr:spPr>
        <a:xfrm>
          <a:off x="7105650" y="1552575"/>
          <a:ext cx="3171825" cy="276225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666750</xdr:colOff>
      <xdr:row>1</xdr:row>
      <xdr:rowOff>180975</xdr:rowOff>
    </xdr:from>
    <xdr:to>
      <xdr:col>3</xdr:col>
      <xdr:colOff>666750</xdr:colOff>
      <xdr:row>1</xdr:row>
      <xdr:rowOff>504825</xdr:rowOff>
    </xdr:to>
    <xdr:cxnSp macro="">
      <xdr:nvCxnSpPr>
        <xdr:cNvPr id="8" name="7 Conector recto"/>
        <xdr:cNvCxnSpPr/>
      </xdr:nvCxnSpPr>
      <xdr:spPr>
        <a:xfrm>
          <a:off x="4810125" y="3048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</xdr:colOff>
      <xdr:row>3</xdr:row>
      <xdr:rowOff>47625</xdr:rowOff>
    </xdr:from>
    <xdr:to>
      <xdr:col>5</xdr:col>
      <xdr:colOff>409574</xdr:colOff>
      <xdr:row>3</xdr:row>
      <xdr:rowOff>333375</xdr:rowOff>
    </xdr:to>
    <xdr:sp macro="" textlink="">
      <xdr:nvSpPr>
        <xdr:cNvPr id="2" name="1 Rectángulo redondeado"/>
        <xdr:cNvSpPr/>
      </xdr:nvSpPr>
      <xdr:spPr>
        <a:xfrm>
          <a:off x="4352924" y="1047750"/>
          <a:ext cx="3648075" cy="285750"/>
        </a:xfrm>
        <a:prstGeom prst="roundRect">
          <a:avLst/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866775</xdr:colOff>
      <xdr:row>0</xdr:row>
      <xdr:rowOff>152400</xdr:rowOff>
    </xdr:from>
    <xdr:to>
      <xdr:col>2</xdr:col>
      <xdr:colOff>866775</xdr:colOff>
      <xdr:row>0</xdr:row>
      <xdr:rowOff>476250</xdr:rowOff>
    </xdr:to>
    <xdr:cxnSp macro="">
      <xdr:nvCxnSpPr>
        <xdr:cNvPr id="4" name="3 Conector recto"/>
        <xdr:cNvCxnSpPr/>
      </xdr:nvCxnSpPr>
      <xdr:spPr>
        <a:xfrm>
          <a:off x="4886325" y="152400"/>
          <a:ext cx="0" cy="323850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295276</xdr:colOff>
      <xdr:row>6</xdr:row>
      <xdr:rowOff>114300</xdr:rowOff>
    </xdr:from>
    <xdr:to>
      <xdr:col>2</xdr:col>
      <xdr:colOff>907504</xdr:colOff>
      <xdr:row>10</xdr:row>
      <xdr:rowOff>57150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6" y="1847850"/>
          <a:ext cx="612228" cy="6953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228601</xdr:colOff>
      <xdr:row>6</xdr:row>
      <xdr:rowOff>114300</xdr:rowOff>
    </xdr:from>
    <xdr:to>
      <xdr:col>3</xdr:col>
      <xdr:colOff>952501</xdr:colOff>
      <xdr:row>10</xdr:row>
      <xdr:rowOff>34198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6" y="1847850"/>
          <a:ext cx="723900" cy="67237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7</xdr:row>
      <xdr:rowOff>19050</xdr:rowOff>
    </xdr:from>
    <xdr:to>
      <xdr:col>4</xdr:col>
      <xdr:colOff>1071562</xdr:colOff>
      <xdr:row>10</xdr:row>
      <xdr:rowOff>0</xdr:rowOff>
    </xdr:to>
    <xdr:pic>
      <xdr:nvPicPr>
        <xdr:cNvPr id="7" name="6 Imagen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2" b="3930"/>
        <a:stretch/>
      </xdr:blipFill>
      <xdr:spPr bwMode="auto">
        <a:xfrm>
          <a:off x="6543675" y="1943100"/>
          <a:ext cx="928687" cy="5429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161925</xdr:colOff>
      <xdr:row>6</xdr:row>
      <xdr:rowOff>180975</xdr:rowOff>
    </xdr:from>
    <xdr:to>
      <xdr:col>5</xdr:col>
      <xdr:colOff>1053894</xdr:colOff>
      <xdr:row>10</xdr:row>
      <xdr:rowOff>57150</xdr:rowOff>
    </xdr:to>
    <xdr:pic>
      <xdr:nvPicPr>
        <xdr:cNvPr id="8" name="irc_mi" descr="Resultado de imagen de logo +compromis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8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914525"/>
          <a:ext cx="891969" cy="6286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B1:R71"/>
  <sheetViews>
    <sheetView zoomScaleNormal="100" workbookViewId="0">
      <pane xSplit="2" ySplit="15" topLeftCell="C16" activePane="bottomRight" state="frozen"/>
      <selection activeCell="C16" sqref="C16"/>
      <selection pane="topRight" activeCell="C16" sqref="C16"/>
      <selection pane="bottomLeft" activeCell="C16" sqref="C16"/>
      <selection pane="bottomRight" activeCell="C15" sqref="C15"/>
    </sheetView>
  </sheetViews>
  <sheetFormatPr baseColWidth="10" defaultColWidth="11.42578125" defaultRowHeight="15" x14ac:dyDescent="0.25"/>
  <cols>
    <col min="1" max="1" width="1.42578125" style="1" customWidth="1"/>
    <col min="2" max="2" width="12" style="2" customWidth="1"/>
    <col min="3" max="3" width="47.28515625" style="1" bestFit="1" customWidth="1"/>
    <col min="4" max="4" width="12.28515625" style="1" bestFit="1" customWidth="1"/>
    <col min="5" max="5" width="13.5703125" style="1" bestFit="1" customWidth="1"/>
    <col min="6" max="9" width="11.42578125" style="1"/>
    <col min="10" max="11" width="13.140625" style="1" customWidth="1"/>
    <col min="12" max="12" width="8.42578125" style="1" customWidth="1"/>
    <col min="13" max="13" width="6.5703125" style="1" customWidth="1"/>
    <col min="14" max="14" width="8" style="1" customWidth="1"/>
    <col min="15" max="18" width="8.7109375" style="1" customWidth="1"/>
    <col min="19" max="16384" width="11.42578125" style="1"/>
  </cols>
  <sheetData>
    <row r="1" spans="2:18" ht="9.75" customHeight="1" x14ac:dyDescent="0.25"/>
    <row r="2" spans="2:18" s="38" customFormat="1" ht="48" customHeight="1" thickBot="1" x14ac:dyDescent="0.3">
      <c r="B2" s="56" t="s">
        <v>63</v>
      </c>
      <c r="C2" s="57"/>
      <c r="D2" s="58"/>
      <c r="E2" s="59" t="s">
        <v>64</v>
      </c>
      <c r="F2" s="57"/>
      <c r="G2" s="57"/>
      <c r="H2" s="57"/>
      <c r="I2" s="57"/>
      <c r="J2" s="57"/>
      <c r="K2" s="57"/>
    </row>
    <row r="3" spans="2:18" ht="9.1999999999999993" customHeight="1" thickTop="1" x14ac:dyDescent="0.25">
      <c r="Q3" s="37"/>
      <c r="R3" s="4"/>
    </row>
    <row r="4" spans="2:18" s="4" customFormat="1" ht="21.75" customHeight="1" x14ac:dyDescent="0.2">
      <c r="C4" s="3"/>
      <c r="Q4" s="37"/>
    </row>
    <row r="5" spans="2:18" s="4" customFormat="1" ht="28.5" x14ac:dyDescent="0.45">
      <c r="B5" s="55" t="s">
        <v>60</v>
      </c>
      <c r="C5" s="3"/>
      <c r="H5" s="279" t="s">
        <v>12</v>
      </c>
      <c r="I5" s="279"/>
      <c r="J5" s="280" t="s">
        <v>82</v>
      </c>
      <c r="K5" s="280"/>
      <c r="Q5" s="37"/>
    </row>
    <row r="6" spans="2:18" s="4" customFormat="1" ht="5.25" customHeight="1" thickBot="1" x14ac:dyDescent="0.25">
      <c r="B6" s="3"/>
      <c r="C6" s="3"/>
      <c r="H6" s="40"/>
      <c r="I6" s="40"/>
      <c r="J6" s="39"/>
      <c r="K6" s="39"/>
    </row>
    <row r="7" spans="2:18" s="4" customFormat="1" ht="19.5" thickBot="1" x14ac:dyDescent="0.25">
      <c r="B7" s="3"/>
      <c r="C7" s="3"/>
      <c r="H7" s="279" t="s">
        <v>32</v>
      </c>
      <c r="I7" s="279"/>
      <c r="J7" s="280" t="s">
        <v>83</v>
      </c>
      <c r="K7" s="280"/>
      <c r="M7" s="80">
        <f>12/5</f>
        <v>2.4</v>
      </c>
    </row>
    <row r="8" spans="2:18" ht="14.25" customHeight="1" thickBot="1" x14ac:dyDescent="0.4">
      <c r="B8" s="6"/>
    </row>
    <row r="9" spans="2:18" x14ac:dyDescent="0.25">
      <c r="D9" s="281"/>
      <c r="E9" s="282"/>
      <c r="F9" s="287"/>
      <c r="G9" s="288"/>
      <c r="H9" s="293"/>
      <c r="I9" s="294"/>
      <c r="J9" s="299"/>
      <c r="K9" s="300"/>
    </row>
    <row r="10" spans="2:18" x14ac:dyDescent="0.25">
      <c r="D10" s="283"/>
      <c r="E10" s="284"/>
      <c r="F10" s="289"/>
      <c r="G10" s="290"/>
      <c r="H10" s="295"/>
      <c r="I10" s="296"/>
      <c r="J10" s="301"/>
      <c r="K10" s="302"/>
    </row>
    <row r="11" spans="2:18" x14ac:dyDescent="0.25">
      <c r="D11" s="283"/>
      <c r="E11" s="284"/>
      <c r="F11" s="289"/>
      <c r="G11" s="290"/>
      <c r="H11" s="295"/>
      <c r="I11" s="296"/>
      <c r="J11" s="301"/>
      <c r="K11" s="302"/>
    </row>
    <row r="12" spans="2:18" x14ac:dyDescent="0.25">
      <c r="D12" s="283"/>
      <c r="E12" s="284"/>
      <c r="F12" s="289"/>
      <c r="G12" s="290"/>
      <c r="H12" s="295"/>
      <c r="I12" s="296"/>
      <c r="J12" s="301"/>
      <c r="K12" s="302"/>
    </row>
    <row r="13" spans="2:18" x14ac:dyDescent="0.25">
      <c r="D13" s="283"/>
      <c r="E13" s="284"/>
      <c r="F13" s="289"/>
      <c r="G13" s="290"/>
      <c r="H13" s="295"/>
      <c r="I13" s="296"/>
      <c r="J13" s="301"/>
      <c r="K13" s="302"/>
    </row>
    <row r="14" spans="2:18" ht="15.75" thickBot="1" x14ac:dyDescent="0.3">
      <c r="D14" s="285"/>
      <c r="E14" s="286"/>
      <c r="F14" s="291"/>
      <c r="G14" s="292"/>
      <c r="H14" s="297"/>
      <c r="I14" s="298"/>
      <c r="J14" s="303"/>
      <c r="K14" s="304"/>
    </row>
    <row r="15" spans="2:18" s="8" customFormat="1" ht="28.7" customHeight="1" thickBot="1" x14ac:dyDescent="0.3">
      <c r="B15" s="7"/>
      <c r="C15" s="50" t="s">
        <v>0</v>
      </c>
      <c r="D15" s="51">
        <v>2019</v>
      </c>
      <c r="E15" s="53">
        <v>2020</v>
      </c>
      <c r="F15" s="52">
        <v>2019</v>
      </c>
      <c r="G15" s="54">
        <v>2020</v>
      </c>
      <c r="H15" s="52">
        <v>2019</v>
      </c>
      <c r="I15" s="54">
        <v>2020</v>
      </c>
      <c r="J15" s="51">
        <v>2019</v>
      </c>
      <c r="K15" s="54">
        <v>2020</v>
      </c>
      <c r="O15" s="41" t="s">
        <v>44</v>
      </c>
      <c r="P15" s="47" t="s">
        <v>44</v>
      </c>
      <c r="Q15" s="47" t="s">
        <v>44</v>
      </c>
      <c r="R15" s="44" t="s">
        <v>44</v>
      </c>
    </row>
    <row r="16" spans="2:18" s="10" customFormat="1" ht="18" customHeight="1" thickTop="1" x14ac:dyDescent="0.2">
      <c r="B16" s="276" t="s">
        <v>9</v>
      </c>
      <c r="C16" s="11" t="s">
        <v>2</v>
      </c>
      <c r="D16" s="77">
        <v>2254980</v>
      </c>
      <c r="E16" s="78">
        <v>2253009</v>
      </c>
      <c r="F16" s="77">
        <v>1253224</v>
      </c>
      <c r="G16" s="78">
        <v>1213466</v>
      </c>
      <c r="H16" s="77">
        <v>1201581</v>
      </c>
      <c r="I16" s="78">
        <v>1179028</v>
      </c>
      <c r="J16" s="12">
        <f>IFERROR(D16+F16+H16,"-")</f>
        <v>4709785</v>
      </c>
      <c r="K16" s="13">
        <f>IFERROR(E16+G16+I16,"-")</f>
        <v>4645503</v>
      </c>
      <c r="O16" s="42">
        <f>IFERROR((E16-D16)/D16,"-")</f>
        <v>-8.7406540191043824E-4</v>
      </c>
      <c r="P16" s="48">
        <f>IFERROR((G16-F16)/F16,"-")</f>
        <v>-3.1724575973648764E-2</v>
      </c>
      <c r="Q16" s="48">
        <f>IFERROR((I16-H16)/H16,"-")</f>
        <v>-1.8769437932191005E-2</v>
      </c>
      <c r="R16" s="45">
        <f>IFERROR((K16-J16)/J16,"-")</f>
        <v>-1.3648606040403119E-2</v>
      </c>
    </row>
    <row r="17" spans="2:18" s="10" customFormat="1" ht="18" customHeight="1" x14ac:dyDescent="0.2">
      <c r="B17" s="277"/>
      <c r="C17" s="14" t="s">
        <v>35</v>
      </c>
      <c r="D17" s="67">
        <v>198307967.84999999</v>
      </c>
      <c r="E17" s="68">
        <v>217388648.46000001</v>
      </c>
      <c r="F17" s="67">
        <v>105771224</v>
      </c>
      <c r="G17" s="68">
        <v>115636118</v>
      </c>
      <c r="H17" s="67">
        <v>97575960</v>
      </c>
      <c r="I17" s="68">
        <v>105251285</v>
      </c>
      <c r="J17" s="15">
        <f t="shared" ref="J17:J18" si="0">IFERROR(D17+F17+H17,"-")</f>
        <v>401655151.85000002</v>
      </c>
      <c r="K17" s="16">
        <f t="shared" ref="K17:K18" si="1">IFERROR(E17+G17+I17,"-")</f>
        <v>438276051.46000004</v>
      </c>
      <c r="O17" s="42">
        <f t="shared" ref="O17:O61" si="2">IFERROR((E17-D17)/D17,"-")</f>
        <v>9.6217417872148367E-2</v>
      </c>
      <c r="P17" s="48">
        <f t="shared" ref="P17:P61" si="3">IFERROR((G17-F17)/F17,"-")</f>
        <v>9.3266331114784107E-2</v>
      </c>
      <c r="Q17" s="48">
        <f t="shared" ref="Q17:Q61" si="4">IFERROR((I17-H17)/H17,"-")</f>
        <v>7.8659999860621402E-2</v>
      </c>
      <c r="R17" s="45">
        <f t="shared" ref="R17:R61" si="5">IFERROR((K17-J17)/J17,"-")</f>
        <v>9.1174977941466215E-2</v>
      </c>
    </row>
    <row r="18" spans="2:18" s="10" customFormat="1" ht="18" customHeight="1" x14ac:dyDescent="0.2">
      <c r="B18" s="277"/>
      <c r="C18" s="14" t="s">
        <v>36</v>
      </c>
      <c r="D18" s="67">
        <v>26820819.809999999</v>
      </c>
      <c r="E18" s="68">
        <v>27401065.420000002</v>
      </c>
      <c r="F18" s="67">
        <v>12691059</v>
      </c>
      <c r="G18" s="68">
        <v>13647945</v>
      </c>
      <c r="H18" s="67">
        <v>11475447</v>
      </c>
      <c r="I18" s="68">
        <v>12770529</v>
      </c>
      <c r="J18" s="15">
        <f t="shared" si="0"/>
        <v>50987325.810000002</v>
      </c>
      <c r="K18" s="16">
        <f t="shared" si="1"/>
        <v>53819539.420000002</v>
      </c>
      <c r="O18" s="42">
        <f t="shared" si="2"/>
        <v>2.1634148922758195E-2</v>
      </c>
      <c r="P18" s="48">
        <f t="shared" si="3"/>
        <v>7.5398436017041603E-2</v>
      </c>
      <c r="Q18" s="48">
        <f t="shared" si="4"/>
        <v>0.11285678021954178</v>
      </c>
      <c r="R18" s="45">
        <f t="shared" si="5"/>
        <v>5.554740447761481E-2</v>
      </c>
    </row>
    <row r="19" spans="2:18" s="17" customFormat="1" ht="18" customHeight="1" x14ac:dyDescent="0.2">
      <c r="B19" s="277"/>
      <c r="C19" s="18" t="s">
        <v>48</v>
      </c>
      <c r="D19" s="19">
        <f t="shared" ref="D19:K19" si="6">IFERROR(D18/D17,"-")</f>
        <v>0.13524832159183461</v>
      </c>
      <c r="E19" s="20">
        <f t="shared" si="6"/>
        <v>0.12604644085195579</v>
      </c>
      <c r="F19" s="19">
        <f t="shared" si="6"/>
        <v>0.1199859330360023</v>
      </c>
      <c r="G19" s="20">
        <f t="shared" si="6"/>
        <v>0.11802493231396785</v>
      </c>
      <c r="H19" s="19">
        <f t="shared" si="6"/>
        <v>0.11760526875677164</v>
      </c>
      <c r="I19" s="20">
        <f t="shared" si="6"/>
        <v>0.12133371103260164</v>
      </c>
      <c r="J19" s="19">
        <f t="shared" si="6"/>
        <v>0.12694303950828312</v>
      </c>
      <c r="K19" s="20">
        <f t="shared" si="6"/>
        <v>0.12279826661921071</v>
      </c>
      <c r="O19" s="42">
        <f t="shared" si="2"/>
        <v>-6.8036931117334984E-2</v>
      </c>
      <c r="P19" s="48">
        <f t="shared" si="3"/>
        <v>-1.6343588555885493E-2</v>
      </c>
      <c r="Q19" s="48">
        <f t="shared" si="4"/>
        <v>3.170302075106065E-2</v>
      </c>
      <c r="R19" s="45">
        <f t="shared" si="5"/>
        <v>-3.265065107253836E-2</v>
      </c>
    </row>
    <row r="20" spans="2:18" s="10" customFormat="1" ht="18" customHeight="1" x14ac:dyDescent="0.2">
      <c r="B20" s="277"/>
      <c r="C20" s="14" t="s">
        <v>54</v>
      </c>
      <c r="D20" s="67">
        <v>37959505</v>
      </c>
      <c r="E20" s="68">
        <v>39512980</v>
      </c>
      <c r="F20" s="67">
        <v>16621308</v>
      </c>
      <c r="G20" s="68">
        <v>27569886</v>
      </c>
      <c r="H20" s="67">
        <v>5444113</v>
      </c>
      <c r="I20" s="68">
        <v>15203223</v>
      </c>
      <c r="J20" s="15">
        <f>IFERROR(D20+F20+H20,"-")</f>
        <v>60024926</v>
      </c>
      <c r="K20" s="16">
        <f>IFERROR(E20+G20+I20,"-")</f>
        <v>82286089</v>
      </c>
      <c r="O20" s="42">
        <f t="shared" si="2"/>
        <v>4.0924532603889327E-2</v>
      </c>
      <c r="P20" s="48">
        <f t="shared" si="3"/>
        <v>0.6587073652687262</v>
      </c>
      <c r="Q20" s="48">
        <f t="shared" si="4"/>
        <v>1.7925987208568228</v>
      </c>
      <c r="R20" s="45">
        <f t="shared" si="5"/>
        <v>0.37086531351992003</v>
      </c>
    </row>
    <row r="21" spans="2:18" s="17" customFormat="1" ht="18" customHeight="1" x14ac:dyDescent="0.2">
      <c r="B21" s="277"/>
      <c r="C21" s="18" t="s">
        <v>49</v>
      </c>
      <c r="D21" s="19">
        <f t="shared" ref="D21:K21" si="7">IFERROR(D20/D17,"-")</f>
        <v>0.19141694310897556</v>
      </c>
      <c r="E21" s="20">
        <f t="shared" si="7"/>
        <v>0.18176192860074972</v>
      </c>
      <c r="F21" s="19">
        <f t="shared" si="7"/>
        <v>0.15714395060796499</v>
      </c>
      <c r="G21" s="20">
        <f t="shared" si="7"/>
        <v>0.23841933192534187</v>
      </c>
      <c r="H21" s="19">
        <f t="shared" si="7"/>
        <v>5.5793588912678903E-2</v>
      </c>
      <c r="I21" s="20">
        <f t="shared" si="7"/>
        <v>0.14444691102821214</v>
      </c>
      <c r="J21" s="19">
        <f t="shared" si="7"/>
        <v>0.14944393399046102</v>
      </c>
      <c r="K21" s="20">
        <f t="shared" si="7"/>
        <v>0.18774945317200378</v>
      </c>
      <c r="O21" s="42">
        <f t="shared" si="2"/>
        <v>-5.0439706911049903E-2</v>
      </c>
      <c r="P21" s="48">
        <f t="shared" si="3"/>
        <v>0.51720337310431197</v>
      </c>
      <c r="Q21" s="48">
        <f t="shared" si="4"/>
        <v>1.5889517746256159</v>
      </c>
      <c r="R21" s="45">
        <f t="shared" si="5"/>
        <v>0.25632033471487575</v>
      </c>
    </row>
    <row r="22" spans="2:18" s="10" customFormat="1" ht="18" customHeight="1" x14ac:dyDescent="0.2">
      <c r="B22" s="277"/>
      <c r="C22" s="14" t="s">
        <v>33</v>
      </c>
      <c r="D22" s="67">
        <v>14852</v>
      </c>
      <c r="E22" s="68">
        <v>10850</v>
      </c>
      <c r="F22" s="67">
        <v>9768</v>
      </c>
      <c r="G22" s="68">
        <v>6740</v>
      </c>
      <c r="H22" s="67">
        <v>9924</v>
      </c>
      <c r="I22" s="68">
        <v>6003</v>
      </c>
      <c r="J22" s="15">
        <f t="shared" ref="J22:J23" si="8">IFERROR(D22+F22+H22,"-")</f>
        <v>34544</v>
      </c>
      <c r="K22" s="16">
        <f t="shared" ref="K22:K23" si="9">IFERROR(E22+G22+I22,"-")</f>
        <v>23593</v>
      </c>
      <c r="O22" s="42">
        <f t="shared" si="2"/>
        <v>-0.26945865876649611</v>
      </c>
      <c r="P22" s="48">
        <f t="shared" si="3"/>
        <v>-0.30999180999180997</v>
      </c>
      <c r="Q22" s="48">
        <f t="shared" si="4"/>
        <v>-0.39510278113663844</v>
      </c>
      <c r="R22" s="45">
        <f t="shared" si="5"/>
        <v>-0.31701597962019451</v>
      </c>
    </row>
    <row r="23" spans="2:18" s="10" customFormat="1" ht="18" customHeight="1" x14ac:dyDescent="0.2">
      <c r="B23" s="277"/>
      <c r="C23" s="14" t="s">
        <v>13</v>
      </c>
      <c r="D23" s="67">
        <v>91093</v>
      </c>
      <c r="E23" s="68">
        <v>60852</v>
      </c>
      <c r="F23" s="67">
        <v>41284</v>
      </c>
      <c r="G23" s="68">
        <v>26929</v>
      </c>
      <c r="H23" s="67">
        <v>55540</v>
      </c>
      <c r="I23" s="68">
        <v>36963</v>
      </c>
      <c r="J23" s="15">
        <f t="shared" si="8"/>
        <v>187917</v>
      </c>
      <c r="K23" s="16">
        <f t="shared" si="9"/>
        <v>124744</v>
      </c>
      <c r="O23" s="42">
        <f t="shared" si="2"/>
        <v>-0.33197940566234507</v>
      </c>
      <c r="P23" s="48">
        <f t="shared" si="3"/>
        <v>-0.34771339986435423</v>
      </c>
      <c r="Q23" s="48">
        <f t="shared" si="4"/>
        <v>-0.33447965430320492</v>
      </c>
      <c r="R23" s="45">
        <f t="shared" si="5"/>
        <v>-0.33617501343678324</v>
      </c>
    </row>
    <row r="24" spans="2:18" s="17" customFormat="1" ht="18" customHeight="1" x14ac:dyDescent="0.2">
      <c r="B24" s="277"/>
      <c r="C24" s="18" t="s">
        <v>34</v>
      </c>
      <c r="D24" s="19">
        <f>IFERROR(D22/D23,"-")</f>
        <v>0.16304216569879135</v>
      </c>
      <c r="E24" s="20">
        <f t="shared" ref="E24:K24" si="10">IFERROR(E22/E23,"-")</f>
        <v>0.17830145270492342</v>
      </c>
      <c r="F24" s="19">
        <f t="shared" si="10"/>
        <v>0.23660498013758358</v>
      </c>
      <c r="G24" s="20">
        <f t="shared" si="10"/>
        <v>0.25028779382821492</v>
      </c>
      <c r="H24" s="19">
        <f t="shared" si="10"/>
        <v>0.17868203096867122</v>
      </c>
      <c r="I24" s="20">
        <f t="shared" si="10"/>
        <v>0.16240564889213538</v>
      </c>
      <c r="J24" s="19">
        <f t="shared" si="10"/>
        <v>0.18382583800294811</v>
      </c>
      <c r="K24" s="20">
        <f t="shared" si="10"/>
        <v>0.18913134098634002</v>
      </c>
      <c r="O24" s="42">
        <f t="shared" si="2"/>
        <v>9.3591047081173537E-2</v>
      </c>
      <c r="P24" s="48">
        <f t="shared" si="3"/>
        <v>5.7829778911140918E-2</v>
      </c>
      <c r="Q24" s="48">
        <f t="shared" si="4"/>
        <v>-9.109132008573162E-2</v>
      </c>
      <c r="R24" s="45">
        <f t="shared" si="5"/>
        <v>2.8861573764765464E-2</v>
      </c>
    </row>
    <row r="25" spans="2:18" s="10" customFormat="1" ht="18" customHeight="1" x14ac:dyDescent="0.2">
      <c r="B25" s="277"/>
      <c r="C25" s="14" t="s">
        <v>14</v>
      </c>
      <c r="D25" s="67">
        <v>40951</v>
      </c>
      <c r="E25" s="68">
        <v>28165</v>
      </c>
      <c r="F25" s="67">
        <v>18915</v>
      </c>
      <c r="G25" s="68">
        <v>12570</v>
      </c>
      <c r="H25" s="67">
        <v>22688</v>
      </c>
      <c r="I25" s="68">
        <v>16091</v>
      </c>
      <c r="J25" s="15">
        <f t="shared" ref="J25:J26" si="11">IFERROR(D25+F25+H25,"-")</f>
        <v>82554</v>
      </c>
      <c r="K25" s="16">
        <f t="shared" ref="K25:K26" si="12">IFERROR(E25+G25+I25,"-")</f>
        <v>56826</v>
      </c>
      <c r="O25" s="42">
        <f t="shared" si="2"/>
        <v>-0.31222680764816491</v>
      </c>
      <c r="P25" s="48">
        <f t="shared" si="3"/>
        <v>-0.33544805709754161</v>
      </c>
      <c r="Q25" s="48">
        <f t="shared" si="4"/>
        <v>-0.29077045133991536</v>
      </c>
      <c r="R25" s="45">
        <f t="shared" si="5"/>
        <v>-0.31165055599970926</v>
      </c>
    </row>
    <row r="26" spans="2:18" s="10" customFormat="1" ht="18" customHeight="1" x14ac:dyDescent="0.2">
      <c r="B26" s="277"/>
      <c r="C26" s="14" t="s">
        <v>15</v>
      </c>
      <c r="D26" s="67">
        <v>83609</v>
      </c>
      <c r="E26" s="68">
        <v>59367</v>
      </c>
      <c r="F26" s="67">
        <v>39172</v>
      </c>
      <c r="G26" s="68">
        <v>25430</v>
      </c>
      <c r="H26" s="67">
        <v>44516</v>
      </c>
      <c r="I26" s="68">
        <v>30960</v>
      </c>
      <c r="J26" s="15">
        <f t="shared" si="11"/>
        <v>167297</v>
      </c>
      <c r="K26" s="16">
        <f t="shared" si="12"/>
        <v>115757</v>
      </c>
      <c r="O26" s="42">
        <f t="shared" si="2"/>
        <v>-0.28994486239519668</v>
      </c>
      <c r="P26" s="48">
        <f t="shared" si="3"/>
        <v>-0.35081180435004594</v>
      </c>
      <c r="Q26" s="48">
        <f t="shared" si="4"/>
        <v>-0.30451972324557464</v>
      </c>
      <c r="R26" s="45">
        <f t="shared" si="5"/>
        <v>-0.30807486087616631</v>
      </c>
    </row>
    <row r="27" spans="2:18" s="17" customFormat="1" ht="18" customHeight="1" x14ac:dyDescent="0.2">
      <c r="B27" s="277"/>
      <c r="C27" s="18" t="s">
        <v>8</v>
      </c>
      <c r="D27" s="19">
        <f>IFERROR(D25/D26,"-")</f>
        <v>0.48979176882871461</v>
      </c>
      <c r="E27" s="20">
        <f t="shared" ref="E27:K27" si="13">IFERROR(E25/E26,"-")</f>
        <v>0.47442181683426821</v>
      </c>
      <c r="F27" s="19">
        <f t="shared" si="13"/>
        <v>0.48287041764525679</v>
      </c>
      <c r="G27" s="20">
        <f t="shared" si="13"/>
        <v>0.49429807314195834</v>
      </c>
      <c r="H27" s="19">
        <f t="shared" si="13"/>
        <v>0.50965944828825593</v>
      </c>
      <c r="I27" s="20">
        <f t="shared" si="13"/>
        <v>0.51973514211886307</v>
      </c>
      <c r="J27" s="19">
        <f t="shared" si="13"/>
        <v>0.49345774281666738</v>
      </c>
      <c r="K27" s="20">
        <f t="shared" si="13"/>
        <v>0.49090767728949436</v>
      </c>
      <c r="O27" s="42">
        <f t="shared" si="2"/>
        <v>-3.1380584510846368E-2</v>
      </c>
      <c r="P27" s="48">
        <f t="shared" si="3"/>
        <v>2.3666091520845527E-2</v>
      </c>
      <c r="Q27" s="48">
        <f t="shared" si="4"/>
        <v>1.9769463441612622E-2</v>
      </c>
      <c r="R27" s="45">
        <f t="shared" si="5"/>
        <v>-5.1677485342862166E-3</v>
      </c>
    </row>
    <row r="28" spans="2:18" s="4" customFormat="1" ht="18" customHeight="1" x14ac:dyDescent="0.2">
      <c r="B28" s="277"/>
      <c r="C28" s="21" t="s">
        <v>19</v>
      </c>
      <c r="D28" s="22">
        <f t="shared" ref="D28:K28" si="14">IFERROR((D25*100*$M$7)/D16,"-")</f>
        <v>4.3584599419950507</v>
      </c>
      <c r="E28" s="23">
        <f t="shared" si="14"/>
        <v>3.0002543265472976</v>
      </c>
      <c r="F28" s="22">
        <f t="shared" si="14"/>
        <v>3.6223372677190988</v>
      </c>
      <c r="G28" s="23">
        <f t="shared" si="14"/>
        <v>2.4861017943642425</v>
      </c>
      <c r="H28" s="22">
        <f t="shared" si="14"/>
        <v>4.5316295780309446</v>
      </c>
      <c r="I28" s="23">
        <f t="shared" si="14"/>
        <v>3.2754438401802162</v>
      </c>
      <c r="J28" s="22">
        <f t="shared" si="14"/>
        <v>4.2067652769712414</v>
      </c>
      <c r="K28" s="23">
        <f t="shared" si="14"/>
        <v>2.9357940356512522</v>
      </c>
      <c r="O28" s="42">
        <f t="shared" si="2"/>
        <v>-0.31162512298462131</v>
      </c>
      <c r="P28" s="48">
        <f t="shared" si="3"/>
        <v>-0.31367467725342907</v>
      </c>
      <c r="Q28" s="48">
        <f t="shared" si="4"/>
        <v>-0.27720397623420895</v>
      </c>
      <c r="R28" s="45">
        <f t="shared" si="5"/>
        <v>-0.30212554246312845</v>
      </c>
    </row>
    <row r="29" spans="2:18" s="10" customFormat="1" ht="18" customHeight="1" x14ac:dyDescent="0.2">
      <c r="B29" s="277"/>
      <c r="C29" s="14" t="s">
        <v>16</v>
      </c>
      <c r="D29" s="67">
        <v>1605295.3199999998</v>
      </c>
      <c r="E29" s="68">
        <v>1348798.5</v>
      </c>
      <c r="F29" s="67">
        <v>781659</v>
      </c>
      <c r="G29" s="68">
        <v>698620</v>
      </c>
      <c r="H29" s="67">
        <v>787989</v>
      </c>
      <c r="I29" s="68">
        <v>658360</v>
      </c>
      <c r="J29" s="15">
        <f t="shared" ref="J29:J30" si="15">IFERROR(D29+F29+H29,"-")</f>
        <v>3174943.32</v>
      </c>
      <c r="K29" s="16">
        <f t="shared" ref="K29:K30" si="16">IFERROR(E29+G29+I29,"-")</f>
        <v>2705778.5</v>
      </c>
      <c r="O29" s="42">
        <f t="shared" si="2"/>
        <v>-0.15978170297039168</v>
      </c>
      <c r="P29" s="48">
        <f t="shared" si="3"/>
        <v>-0.10623430421705629</v>
      </c>
      <c r="Q29" s="48">
        <f t="shared" si="4"/>
        <v>-0.16450610351159725</v>
      </c>
      <c r="R29" s="45">
        <f t="shared" si="5"/>
        <v>-0.1477710852488541</v>
      </c>
    </row>
    <row r="30" spans="2:18" s="10" customFormat="1" ht="18" customHeight="1" x14ac:dyDescent="0.2">
      <c r="B30" s="277"/>
      <c r="C30" s="14" t="s">
        <v>17</v>
      </c>
      <c r="D30" s="67">
        <v>39804</v>
      </c>
      <c r="E30" s="68">
        <v>28546</v>
      </c>
      <c r="F30" s="67">
        <v>21039</v>
      </c>
      <c r="G30" s="68">
        <v>15603</v>
      </c>
      <c r="H30" s="67">
        <v>22508</v>
      </c>
      <c r="I30" s="68">
        <v>16900</v>
      </c>
      <c r="J30" s="15">
        <f t="shared" si="15"/>
        <v>83351</v>
      </c>
      <c r="K30" s="16">
        <f t="shared" si="16"/>
        <v>61049</v>
      </c>
      <c r="O30" s="42">
        <f t="shared" si="2"/>
        <v>-0.2828358958898603</v>
      </c>
      <c r="P30" s="48">
        <f t="shared" si="3"/>
        <v>-0.2583772993012976</v>
      </c>
      <c r="Q30" s="48">
        <f t="shared" si="4"/>
        <v>-0.24915585569575263</v>
      </c>
      <c r="R30" s="45">
        <f t="shared" si="5"/>
        <v>-0.26756727573754363</v>
      </c>
    </row>
    <row r="31" spans="2:18" s="24" customFormat="1" ht="18" customHeight="1" x14ac:dyDescent="0.2">
      <c r="B31" s="277"/>
      <c r="C31" s="25" t="s">
        <v>20</v>
      </c>
      <c r="D31" s="22">
        <f>IFERROR(D29/D30,"-")</f>
        <v>40.33</v>
      </c>
      <c r="E31" s="23">
        <f t="shared" ref="E31:K31" si="17">IFERROR(E29/E30,"-")</f>
        <v>47.25</v>
      </c>
      <c r="F31" s="22">
        <f t="shared" si="17"/>
        <v>37.152858976187083</v>
      </c>
      <c r="G31" s="23">
        <f t="shared" si="17"/>
        <v>44.774722809716081</v>
      </c>
      <c r="H31" s="22">
        <f t="shared" si="17"/>
        <v>35.009285587346724</v>
      </c>
      <c r="I31" s="23">
        <f t="shared" si="17"/>
        <v>38.95621301775148</v>
      </c>
      <c r="J31" s="22">
        <f t="shared" si="17"/>
        <v>38.091244496166809</v>
      </c>
      <c r="K31" s="23">
        <f t="shared" si="17"/>
        <v>44.321422136316727</v>
      </c>
      <c r="O31" s="42">
        <f t="shared" si="2"/>
        <v>0.17158442846516245</v>
      </c>
      <c r="P31" s="48">
        <f t="shared" si="3"/>
        <v>0.20514878379653606</v>
      </c>
      <c r="Q31" s="48">
        <f t="shared" si="4"/>
        <v>0.11273944509828213</v>
      </c>
      <c r="R31" s="45">
        <f t="shared" si="5"/>
        <v>0.16355930929946047</v>
      </c>
    </row>
    <row r="32" spans="2:18" s="24" customFormat="1" ht="18" customHeight="1" x14ac:dyDescent="0.2">
      <c r="B32" s="277"/>
      <c r="C32" s="26" t="s">
        <v>26</v>
      </c>
      <c r="D32" s="67">
        <f>1575725-D25</f>
        <v>1534774</v>
      </c>
      <c r="E32" s="68">
        <f>1440893-E25</f>
        <v>1412728</v>
      </c>
      <c r="F32" s="67">
        <v>777609</v>
      </c>
      <c r="G32" s="68">
        <v>681264</v>
      </c>
      <c r="H32" s="67">
        <v>705669</v>
      </c>
      <c r="I32" s="68">
        <v>723227</v>
      </c>
      <c r="J32" s="15">
        <f t="shared" ref="J32" si="18">IFERROR(D32+F32+H32,"-")</f>
        <v>3018052</v>
      </c>
      <c r="K32" s="16">
        <f t="shared" ref="K32" si="19">IFERROR(E32+G32+I32,"-")</f>
        <v>2817219</v>
      </c>
      <c r="O32" s="42">
        <f t="shared" si="2"/>
        <v>-7.9520502692904629E-2</v>
      </c>
      <c r="P32" s="48">
        <f t="shared" si="3"/>
        <v>-0.12389902894642423</v>
      </c>
      <c r="Q32" s="48">
        <f t="shared" si="4"/>
        <v>2.4881353722495957E-2</v>
      </c>
      <c r="R32" s="45">
        <f t="shared" si="5"/>
        <v>-6.6543916407006909E-2</v>
      </c>
    </row>
    <row r="33" spans="2:18" s="24" customFormat="1" ht="18" customHeight="1" x14ac:dyDescent="0.2">
      <c r="B33" s="277"/>
      <c r="C33" s="25" t="s">
        <v>30</v>
      </c>
      <c r="D33" s="22">
        <f t="shared" ref="D33:K33" si="20">IFERROR((D32*$M$7)/D16,"-")</f>
        <v>1.6334768379320437</v>
      </c>
      <c r="E33" s="23">
        <f t="shared" si="20"/>
        <v>1.5048973173209692</v>
      </c>
      <c r="F33" s="22">
        <f t="shared" si="20"/>
        <v>1.4891684168193395</v>
      </c>
      <c r="G33" s="23">
        <f t="shared" si="20"/>
        <v>1.3474078383737162</v>
      </c>
      <c r="H33" s="22">
        <f t="shared" si="20"/>
        <v>1.4094810087709442</v>
      </c>
      <c r="I33" s="23">
        <f t="shared" si="20"/>
        <v>1.4721828489230111</v>
      </c>
      <c r="J33" s="22">
        <f t="shared" si="20"/>
        <v>1.5379310945191764</v>
      </c>
      <c r="K33" s="23">
        <f t="shared" si="20"/>
        <v>1.4554560830118934</v>
      </c>
      <c r="O33" s="42">
        <f t="shared" si="2"/>
        <v>-7.8715239558495451E-2</v>
      </c>
      <c r="P33" s="48">
        <f t="shared" si="3"/>
        <v>-9.5194456748152453E-2</v>
      </c>
      <c r="Q33" s="48">
        <f t="shared" si="4"/>
        <v>4.4485764449385817E-2</v>
      </c>
      <c r="R33" s="45">
        <f t="shared" si="5"/>
        <v>-5.3627247541326438E-2</v>
      </c>
    </row>
    <row r="34" spans="2:18" s="10" customFormat="1" ht="18" customHeight="1" x14ac:dyDescent="0.2">
      <c r="B34" s="277"/>
      <c r="C34" s="14" t="s">
        <v>18</v>
      </c>
      <c r="D34" s="67">
        <v>10946</v>
      </c>
      <c r="E34" s="68">
        <v>9490</v>
      </c>
      <c r="F34" s="67">
        <v>4256</v>
      </c>
      <c r="G34" s="68">
        <v>3103</v>
      </c>
      <c r="H34" s="67">
        <v>5144</v>
      </c>
      <c r="I34" s="68">
        <v>4595</v>
      </c>
      <c r="J34" s="15">
        <f>IFERROR(D34+F34+H34,"-")</f>
        <v>20346</v>
      </c>
      <c r="K34" s="16">
        <f>IFERROR(E34+G34+I34,"-")</f>
        <v>17188</v>
      </c>
      <c r="O34" s="42">
        <f t="shared" si="2"/>
        <v>-0.1330166270783848</v>
      </c>
      <c r="P34" s="48">
        <f t="shared" si="3"/>
        <v>-0.27091165413533835</v>
      </c>
      <c r="Q34" s="48">
        <f t="shared" si="4"/>
        <v>-0.10672628304821151</v>
      </c>
      <c r="R34" s="45">
        <f t="shared" si="5"/>
        <v>-0.15521478423277302</v>
      </c>
    </row>
    <row r="35" spans="2:18" s="10" customFormat="1" ht="18" customHeight="1" x14ac:dyDescent="0.2">
      <c r="B35" s="277"/>
      <c r="C35" s="81" t="s">
        <v>69</v>
      </c>
      <c r="D35" s="83">
        <f>IFERROR((D34*100)/D25/$M$7,"-")</f>
        <v>11.137294164570665</v>
      </c>
      <c r="E35" s="82">
        <f>IFERROR((E34*100)/E25/$M$7,"-")</f>
        <v>14.039292265814545</v>
      </c>
      <c r="F35" s="83">
        <f t="shared" ref="F35:K35" si="21">IFERROR((F34*100)/F25/$M$7,"-")</f>
        <v>9.3752753546567984</v>
      </c>
      <c r="G35" s="82">
        <f t="shared" si="21"/>
        <v>10.285733227260675</v>
      </c>
      <c r="H35" s="83">
        <f t="shared" si="21"/>
        <v>9.4469910672308419</v>
      </c>
      <c r="I35" s="82">
        <f t="shared" si="21"/>
        <v>11.898473266629379</v>
      </c>
      <c r="J35" s="22">
        <f t="shared" si="21"/>
        <v>10.26903602490491</v>
      </c>
      <c r="K35" s="23">
        <f t="shared" si="21"/>
        <v>12.602799188165042</v>
      </c>
      <c r="O35" s="42">
        <f t="shared" ref="O35" si="22">IFERROR((E35-D35)/D35,"-")</f>
        <v>0.26056581233847204</v>
      </c>
      <c r="P35" s="48">
        <f t="shared" ref="P35" si="23">IFERROR((G35-F35)/F35,"-")</f>
        <v>9.7112654099449178E-2</v>
      </c>
      <c r="Q35" s="48">
        <f t="shared" ref="Q35" si="24">IFERROR((I35-H35)/H35,"-")</f>
        <v>0.25949873160165166</v>
      </c>
      <c r="R35" s="45">
        <f t="shared" ref="R35" si="25">IFERROR((K35-J35)/J35,"-")</f>
        <v>0.22726214589180413</v>
      </c>
    </row>
    <row r="36" spans="2:18" s="4" customFormat="1" ht="18" customHeight="1" x14ac:dyDescent="0.2">
      <c r="B36" s="277"/>
      <c r="C36" s="21" t="s">
        <v>45</v>
      </c>
      <c r="D36" s="22">
        <f t="shared" ref="D36:K36" si="26">IFERROR((D34*100)/D16,"-")</f>
        <v>0.48541450478496484</v>
      </c>
      <c r="E36" s="23">
        <f t="shared" si="26"/>
        <v>0.42121447362172099</v>
      </c>
      <c r="F36" s="22">
        <f t="shared" si="26"/>
        <v>0.33960409312301709</v>
      </c>
      <c r="G36" s="23">
        <f t="shared" si="26"/>
        <v>0.25571379832644675</v>
      </c>
      <c r="H36" s="22">
        <f t="shared" si="26"/>
        <v>0.42810264143657401</v>
      </c>
      <c r="I36" s="23">
        <f t="shared" si="26"/>
        <v>0.38972780968730175</v>
      </c>
      <c r="J36" s="22">
        <f t="shared" si="26"/>
        <v>0.43199424177536766</v>
      </c>
      <c r="K36" s="23">
        <f t="shared" si="26"/>
        <v>0.36999222689125377</v>
      </c>
      <c r="O36" s="42">
        <f t="shared" si="2"/>
        <v>-0.13225816396171353</v>
      </c>
      <c r="P36" s="48">
        <f t="shared" si="3"/>
        <v>-0.24702380358584838</v>
      </c>
      <c r="Q36" s="48">
        <f t="shared" si="4"/>
        <v>-8.9639324860268862E-2</v>
      </c>
      <c r="R36" s="45">
        <f t="shared" si="5"/>
        <v>-0.14352509568022034</v>
      </c>
    </row>
    <row r="37" spans="2:18" s="10" customFormat="1" ht="18" customHeight="1" x14ac:dyDescent="0.2">
      <c r="B37" s="277"/>
      <c r="C37" s="14" t="s">
        <v>4</v>
      </c>
      <c r="D37" s="67">
        <v>4263</v>
      </c>
      <c r="E37" s="68">
        <v>3392</v>
      </c>
      <c r="F37" s="67">
        <v>2518</v>
      </c>
      <c r="G37" s="68">
        <v>1893</v>
      </c>
      <c r="H37" s="67">
        <v>2348</v>
      </c>
      <c r="I37" s="68">
        <v>1885</v>
      </c>
      <c r="J37" s="15">
        <f t="shared" ref="J37:J38" si="27">IFERROR(D37+F37+H37,"-")</f>
        <v>9129</v>
      </c>
      <c r="K37" s="16">
        <f t="shared" ref="K37:K38" si="28">IFERROR(E37+G37+I37,"-")</f>
        <v>7170</v>
      </c>
      <c r="O37" s="42">
        <f t="shared" si="2"/>
        <v>-0.20431620924231761</v>
      </c>
      <c r="P37" s="48">
        <f t="shared" si="3"/>
        <v>-0.24821286735504369</v>
      </c>
      <c r="Q37" s="48">
        <f t="shared" si="4"/>
        <v>-0.19718909710391821</v>
      </c>
      <c r="R37" s="45">
        <f t="shared" si="5"/>
        <v>-0.21459086427867236</v>
      </c>
    </row>
    <row r="38" spans="2:18" s="10" customFormat="1" ht="18" customHeight="1" x14ac:dyDescent="0.2">
      <c r="B38" s="277"/>
      <c r="C38" s="14" t="s">
        <v>37</v>
      </c>
      <c r="D38" s="67">
        <v>8905171.1099999994</v>
      </c>
      <c r="E38" s="68">
        <v>7807226.71</v>
      </c>
      <c r="F38" s="67">
        <v>5625881</v>
      </c>
      <c r="G38" s="68">
        <v>5036417</v>
      </c>
      <c r="H38" s="67">
        <v>4949933</v>
      </c>
      <c r="I38" s="68">
        <v>4196306</v>
      </c>
      <c r="J38" s="15">
        <f t="shared" si="27"/>
        <v>19480985.109999999</v>
      </c>
      <c r="K38" s="16">
        <f t="shared" si="28"/>
        <v>17039949.710000001</v>
      </c>
      <c r="O38" s="42">
        <f t="shared" si="2"/>
        <v>-0.12329290323990187</v>
      </c>
      <c r="P38" s="48">
        <f t="shared" si="3"/>
        <v>-0.10477718956373233</v>
      </c>
      <c r="Q38" s="48">
        <f t="shared" si="4"/>
        <v>-0.15224993954463625</v>
      </c>
      <c r="R38" s="45">
        <f t="shared" si="5"/>
        <v>-0.12530348882341497</v>
      </c>
    </row>
    <row r="39" spans="2:18" s="17" customFormat="1" ht="18" customHeight="1" x14ac:dyDescent="0.2">
      <c r="B39" s="277"/>
      <c r="C39" s="18" t="s">
        <v>50</v>
      </c>
      <c r="D39" s="19">
        <f t="shared" ref="D39:K39" si="29">IFERROR(D38/D17,"-")</f>
        <v>4.4905765545113469E-2</v>
      </c>
      <c r="E39" s="20">
        <f t="shared" si="29"/>
        <v>3.5913681626465181E-2</v>
      </c>
      <c r="F39" s="19">
        <f t="shared" si="29"/>
        <v>5.3189145282085418E-2</v>
      </c>
      <c r="G39" s="20">
        <f t="shared" si="29"/>
        <v>4.3554013115521574E-2</v>
      </c>
      <c r="H39" s="19">
        <f>IFERROR(H38/H17,"-")</f>
        <v>5.0729021779544879E-2</v>
      </c>
      <c r="I39" s="20">
        <f>IFERROR(I38/I17,"-")</f>
        <v>3.9869403969747259E-2</v>
      </c>
      <c r="J39" s="19">
        <f t="shared" si="29"/>
        <v>4.8501768296190718E-2</v>
      </c>
      <c r="K39" s="20">
        <f t="shared" si="29"/>
        <v>3.8879490798632378E-2</v>
      </c>
      <c r="O39" s="42">
        <f t="shared" si="2"/>
        <v>-0.20024341661906669</v>
      </c>
      <c r="P39" s="48">
        <f t="shared" si="3"/>
        <v>-0.18114846770829843</v>
      </c>
      <c r="Q39" s="48">
        <f t="shared" si="4"/>
        <v>-0.21407110621984179</v>
      </c>
      <c r="R39" s="45">
        <f t="shared" si="5"/>
        <v>-0.19839024092476365</v>
      </c>
    </row>
    <row r="40" spans="2:18" s="10" customFormat="1" ht="18" customHeight="1" x14ac:dyDescent="0.2">
      <c r="B40" s="277"/>
      <c r="C40" s="14" t="s">
        <v>5</v>
      </c>
      <c r="D40" s="67">
        <v>219</v>
      </c>
      <c r="E40" s="68">
        <v>172</v>
      </c>
      <c r="F40" s="67">
        <v>111</v>
      </c>
      <c r="G40" s="68">
        <v>136</v>
      </c>
      <c r="H40" s="67">
        <v>94</v>
      </c>
      <c r="I40" s="68">
        <v>101</v>
      </c>
      <c r="J40" s="15">
        <f t="shared" ref="J40:J41" si="30">IFERROR(D40+F40+H40,"-")</f>
        <v>424</v>
      </c>
      <c r="K40" s="16">
        <f t="shared" ref="K40:K41" si="31">IFERROR(E40+G40+I40,"-")</f>
        <v>409</v>
      </c>
      <c r="O40" s="42">
        <f t="shared" si="2"/>
        <v>-0.21461187214611871</v>
      </c>
      <c r="P40" s="48">
        <f t="shared" si="3"/>
        <v>0.22522522522522523</v>
      </c>
      <c r="Q40" s="48">
        <f t="shared" si="4"/>
        <v>7.4468085106382975E-2</v>
      </c>
      <c r="R40" s="45">
        <f t="shared" si="5"/>
        <v>-3.5377358490566037E-2</v>
      </c>
    </row>
    <row r="41" spans="2:18" s="10" customFormat="1" ht="18" customHeight="1" x14ac:dyDescent="0.2">
      <c r="B41" s="277"/>
      <c r="C41" s="14" t="s">
        <v>38</v>
      </c>
      <c r="D41" s="67">
        <v>2533537.9700000002</v>
      </c>
      <c r="E41" s="68">
        <v>3133818.44</v>
      </c>
      <c r="F41" s="67">
        <v>1436887</v>
      </c>
      <c r="G41" s="68">
        <v>1813458</v>
      </c>
      <c r="H41" s="67">
        <v>1114475</v>
      </c>
      <c r="I41" s="68">
        <v>1311728</v>
      </c>
      <c r="J41" s="15">
        <f t="shared" si="30"/>
        <v>5084899.9700000007</v>
      </c>
      <c r="K41" s="16">
        <f t="shared" si="31"/>
        <v>6259004.4399999995</v>
      </c>
      <c r="O41" s="42">
        <f t="shared" si="2"/>
        <v>0.23693367816389968</v>
      </c>
      <c r="P41" s="48">
        <f t="shared" si="3"/>
        <v>0.26207419233384394</v>
      </c>
      <c r="Q41" s="48">
        <f t="shared" si="4"/>
        <v>0.1769918571524709</v>
      </c>
      <c r="R41" s="45">
        <f t="shared" si="5"/>
        <v>0.23090020982261303</v>
      </c>
    </row>
    <row r="42" spans="2:18" s="17" customFormat="1" ht="18" customHeight="1" x14ac:dyDescent="0.2">
      <c r="B42" s="277"/>
      <c r="C42" s="18" t="s">
        <v>51</v>
      </c>
      <c r="D42" s="19">
        <f t="shared" ref="D42:K42" si="32">IFERROR(D41/D17,"-")</f>
        <v>1.2775774959866294E-2</v>
      </c>
      <c r="E42" s="20">
        <f t="shared" si="32"/>
        <v>1.4415740942318013E-2</v>
      </c>
      <c r="F42" s="19">
        <f t="shared" si="32"/>
        <v>1.3584857446671886E-2</v>
      </c>
      <c r="G42" s="20">
        <f t="shared" si="32"/>
        <v>1.568245312420467E-2</v>
      </c>
      <c r="H42" s="19">
        <f>IFERROR(H41/H17,"-")</f>
        <v>1.1421614504228296E-2</v>
      </c>
      <c r="I42" s="20">
        <f>IFERROR(I41/I17,"-")</f>
        <v>1.2462821712818043E-2</v>
      </c>
      <c r="J42" s="19">
        <f t="shared" si="32"/>
        <v>1.2659864927859758E-2</v>
      </c>
      <c r="K42" s="20">
        <f t="shared" si="32"/>
        <v>1.428096383352408E-2</v>
      </c>
      <c r="O42" s="42">
        <f t="shared" si="2"/>
        <v>0.1283652841102394</v>
      </c>
      <c r="P42" s="48">
        <f t="shared" si="3"/>
        <v>0.15440689648507633</v>
      </c>
      <c r="Q42" s="48">
        <f t="shared" si="4"/>
        <v>9.1161123342439074E-2</v>
      </c>
      <c r="R42" s="45">
        <f t="shared" si="5"/>
        <v>0.12805025289779148</v>
      </c>
    </row>
    <row r="43" spans="2:18" s="17" customFormat="1" ht="18" customHeight="1" x14ac:dyDescent="0.2">
      <c r="B43" s="277"/>
      <c r="C43" s="27" t="s">
        <v>55</v>
      </c>
      <c r="D43" s="79">
        <v>6714822.5700000003</v>
      </c>
      <c r="E43" s="78">
        <v>6266201.4699999997</v>
      </c>
      <c r="F43" s="79">
        <v>4248495</v>
      </c>
      <c r="G43" s="78">
        <v>3801668</v>
      </c>
      <c r="H43" s="79">
        <v>4434106</v>
      </c>
      <c r="I43" s="78">
        <v>3971073</v>
      </c>
      <c r="J43" s="15">
        <f>IFERROR(D43+F43+H43,"-")</f>
        <v>15397423.57</v>
      </c>
      <c r="K43" s="16">
        <f>IFERROR(E43+G43+I43,"-")</f>
        <v>14038942.469999999</v>
      </c>
      <c r="O43" s="42">
        <f t="shared" si="2"/>
        <v>-6.681056652253442E-2</v>
      </c>
      <c r="P43" s="48">
        <f t="shared" si="3"/>
        <v>-0.10517300832412418</v>
      </c>
      <c r="Q43" s="48">
        <f t="shared" si="4"/>
        <v>-0.10442533399066238</v>
      </c>
      <c r="R43" s="45">
        <f t="shared" si="5"/>
        <v>-8.8227819012970193E-2</v>
      </c>
    </row>
    <row r="44" spans="2:18" s="10" customFormat="1" ht="18" customHeight="1" thickBot="1" x14ac:dyDescent="0.25">
      <c r="B44" s="278"/>
      <c r="C44" s="28" t="s">
        <v>56</v>
      </c>
      <c r="D44" s="29">
        <f>IFERROR(D43/D17,"-")</f>
        <v>3.3860578789648467E-2</v>
      </c>
      <c r="E44" s="30">
        <f t="shared" ref="E44:K44" si="33">IFERROR(E43/E17,"-")</f>
        <v>2.8824878917967027E-2</v>
      </c>
      <c r="F44" s="29">
        <f t="shared" si="33"/>
        <v>4.0166832143305818E-2</v>
      </c>
      <c r="G44" s="30">
        <f t="shared" si="33"/>
        <v>3.2876129584357025E-2</v>
      </c>
      <c r="H44" s="29">
        <f>IFERROR(H43/H17,"-")</f>
        <v>4.5442606969995476E-2</v>
      </c>
      <c r="I44" s="30">
        <f>IFERROR(I43/I17,"-")</f>
        <v>3.7729449098887487E-2</v>
      </c>
      <c r="J44" s="29">
        <f t="shared" si="33"/>
        <v>3.8334933584395402E-2</v>
      </c>
      <c r="K44" s="30">
        <f t="shared" si="33"/>
        <v>3.203219163637392E-2</v>
      </c>
      <c r="O44" s="42">
        <f t="shared" si="2"/>
        <v>-0.1487186590331086</v>
      </c>
      <c r="P44" s="48">
        <f t="shared" si="3"/>
        <v>-0.18151051924974515</v>
      </c>
      <c r="Q44" s="48">
        <f t="shared" si="4"/>
        <v>-0.16973405324656612</v>
      </c>
      <c r="R44" s="45">
        <f t="shared" si="5"/>
        <v>-0.16441249165453289</v>
      </c>
    </row>
    <row r="45" spans="2:18" s="10" customFormat="1" ht="18" customHeight="1" x14ac:dyDescent="0.2">
      <c r="B45" s="276" t="s">
        <v>10</v>
      </c>
      <c r="C45" s="31" t="s">
        <v>6</v>
      </c>
      <c r="D45" s="65">
        <v>1880707</v>
      </c>
      <c r="E45" s="66">
        <v>1835736</v>
      </c>
      <c r="F45" s="65">
        <v>1023386</v>
      </c>
      <c r="G45" s="66">
        <v>971826</v>
      </c>
      <c r="H45" s="65">
        <v>964502</v>
      </c>
      <c r="I45" s="66">
        <v>958961</v>
      </c>
      <c r="J45" s="32">
        <f t="shared" ref="J45:J47" si="34">IFERROR(D45+F45+H45,"-")</f>
        <v>3868595</v>
      </c>
      <c r="K45" s="33">
        <f t="shared" ref="K45:K47" si="35">IFERROR(E45+G45+I45,"-")</f>
        <v>3766523</v>
      </c>
      <c r="O45" s="42">
        <f t="shared" si="2"/>
        <v>-2.3911752335690779E-2</v>
      </c>
      <c r="P45" s="48">
        <f t="shared" si="3"/>
        <v>-5.0381771882750011E-2</v>
      </c>
      <c r="Q45" s="48">
        <f t="shared" si="4"/>
        <v>-5.7449336548809644E-3</v>
      </c>
      <c r="R45" s="45">
        <f t="shared" si="5"/>
        <v>-2.6384772766340235E-2</v>
      </c>
    </row>
    <row r="46" spans="2:18" s="10" customFormat="1" ht="18" customHeight="1" x14ac:dyDescent="0.2">
      <c r="B46" s="277"/>
      <c r="C46" s="14" t="s">
        <v>39</v>
      </c>
      <c r="D46" s="67">
        <v>92790391.120000005</v>
      </c>
      <c r="E46" s="68">
        <v>99598517.75</v>
      </c>
      <c r="F46" s="67">
        <v>53786065</v>
      </c>
      <c r="G46" s="68">
        <v>56298998</v>
      </c>
      <c r="H46" s="67">
        <v>46071787</v>
      </c>
      <c r="I46" s="68">
        <v>49283343</v>
      </c>
      <c r="J46" s="15">
        <f t="shared" si="34"/>
        <v>192648243.12</v>
      </c>
      <c r="K46" s="16">
        <f t="shared" si="35"/>
        <v>205180858.75</v>
      </c>
      <c r="O46" s="42">
        <f t="shared" si="2"/>
        <v>7.3371030640397572E-2</v>
      </c>
      <c r="P46" s="48">
        <f t="shared" si="3"/>
        <v>4.6720893227641766E-2</v>
      </c>
      <c r="Q46" s="48">
        <f t="shared" si="4"/>
        <v>6.9707649933352919E-2</v>
      </c>
      <c r="R46" s="45">
        <f t="shared" si="5"/>
        <v>6.5054398768606816E-2</v>
      </c>
    </row>
    <row r="47" spans="2:18" s="10" customFormat="1" ht="18" customHeight="1" x14ac:dyDescent="0.2">
      <c r="B47" s="277"/>
      <c r="C47" s="14" t="s">
        <v>40</v>
      </c>
      <c r="D47" s="67">
        <v>137096291.15000001</v>
      </c>
      <c r="E47" s="68">
        <v>151892567.09</v>
      </c>
      <c r="F47" s="67">
        <v>76212626</v>
      </c>
      <c r="G47" s="68">
        <v>83020389</v>
      </c>
      <c r="H47" s="67">
        <v>62696737</v>
      </c>
      <c r="I47" s="68">
        <v>71632190</v>
      </c>
      <c r="J47" s="15">
        <f t="shared" si="34"/>
        <v>276005654.14999998</v>
      </c>
      <c r="K47" s="16">
        <f t="shared" si="35"/>
        <v>306545146.09000003</v>
      </c>
      <c r="O47" s="42">
        <f t="shared" si="2"/>
        <v>0.10792615770919049</v>
      </c>
      <c r="P47" s="48">
        <f t="shared" si="3"/>
        <v>8.9325920878254472E-2</v>
      </c>
      <c r="Q47" s="48">
        <f t="shared" si="4"/>
        <v>0.14251862899978351</v>
      </c>
      <c r="R47" s="45">
        <f t="shared" si="5"/>
        <v>0.11064806637404193</v>
      </c>
    </row>
    <row r="48" spans="2:18" s="17" customFormat="1" ht="18" customHeight="1" x14ac:dyDescent="0.2">
      <c r="B48" s="277"/>
      <c r="C48" s="18" t="s">
        <v>52</v>
      </c>
      <c r="D48" s="19">
        <f>IFERROR(D47/D46,"-")</f>
        <v>1.477483708121264</v>
      </c>
      <c r="E48" s="20">
        <f t="shared" ref="E48:K48" si="36">IFERROR(E47/E46,"-")</f>
        <v>1.5250484698101845</v>
      </c>
      <c r="F48" s="19">
        <f t="shared" si="36"/>
        <v>1.4169585746791478</v>
      </c>
      <c r="G48" s="20">
        <f t="shared" si="36"/>
        <v>1.4746335094631702</v>
      </c>
      <c r="H48" s="19">
        <f t="shared" si="36"/>
        <v>1.3608488205590983</v>
      </c>
      <c r="I48" s="20">
        <f t="shared" si="36"/>
        <v>1.4534766848101193</v>
      </c>
      <c r="J48" s="19">
        <f t="shared" si="36"/>
        <v>1.4326922980453909</v>
      </c>
      <c r="K48" s="20">
        <f t="shared" si="36"/>
        <v>1.4940240915138485</v>
      </c>
      <c r="O48" s="42">
        <f t="shared" si="2"/>
        <v>3.2193087089537421E-2</v>
      </c>
      <c r="P48" s="48">
        <f t="shared" si="3"/>
        <v>4.0703331639093378E-2</v>
      </c>
      <c r="Q48" s="48">
        <f t="shared" si="4"/>
        <v>6.8066241342638834E-2</v>
      </c>
      <c r="R48" s="45">
        <f t="shared" si="5"/>
        <v>4.2808768883682867E-2</v>
      </c>
    </row>
    <row r="49" spans="2:18" s="10" customFormat="1" ht="18" customHeight="1" x14ac:dyDescent="0.2">
      <c r="B49" s="277"/>
      <c r="C49" s="14" t="s">
        <v>21</v>
      </c>
      <c r="D49" s="67">
        <v>24161</v>
      </c>
      <c r="E49" s="270">
        <v>15391</v>
      </c>
      <c r="F49" s="67">
        <v>12824</v>
      </c>
      <c r="G49" s="68">
        <v>10538</v>
      </c>
      <c r="H49" s="67">
        <v>16743</v>
      </c>
      <c r="I49" s="68">
        <v>8821</v>
      </c>
      <c r="J49" s="15">
        <f t="shared" ref="J49:J52" si="37">IFERROR(D49+F49+H49,"-")</f>
        <v>53728</v>
      </c>
      <c r="K49" s="16">
        <f t="shared" ref="K49:K52" si="38">IFERROR(E49+G49+I49,"-")</f>
        <v>34750</v>
      </c>
      <c r="O49" s="42">
        <f t="shared" si="2"/>
        <v>-0.36298166466619758</v>
      </c>
      <c r="P49" s="48">
        <f t="shared" si="3"/>
        <v>-0.17825951341235183</v>
      </c>
      <c r="Q49" s="48">
        <f t="shared" si="4"/>
        <v>-0.47315295944573854</v>
      </c>
      <c r="R49" s="45">
        <f t="shared" si="5"/>
        <v>-0.35322364502680165</v>
      </c>
    </row>
    <row r="50" spans="2:18" s="10" customFormat="1" ht="18" customHeight="1" x14ac:dyDescent="0.2">
      <c r="B50" s="277"/>
      <c r="C50" s="14" t="s">
        <v>22</v>
      </c>
      <c r="D50" s="67">
        <v>93892</v>
      </c>
      <c r="E50" s="270">
        <v>83464</v>
      </c>
      <c r="F50" s="67">
        <v>45442</v>
      </c>
      <c r="G50" s="68">
        <v>41190</v>
      </c>
      <c r="H50" s="67">
        <v>50499</v>
      </c>
      <c r="I50" s="68">
        <v>44504</v>
      </c>
      <c r="J50" s="15">
        <f t="shared" si="37"/>
        <v>189833</v>
      </c>
      <c r="K50" s="16">
        <f t="shared" si="38"/>
        <v>169158</v>
      </c>
      <c r="O50" s="42">
        <f t="shared" si="2"/>
        <v>-0.11106377540152515</v>
      </c>
      <c r="P50" s="48">
        <f t="shared" si="3"/>
        <v>-9.3569825271775015E-2</v>
      </c>
      <c r="Q50" s="48">
        <f t="shared" si="4"/>
        <v>-0.11871522208360562</v>
      </c>
      <c r="R50" s="45">
        <f t="shared" si="5"/>
        <v>-0.10891151696491126</v>
      </c>
    </row>
    <row r="51" spans="2:18" s="10" customFormat="1" ht="18" customHeight="1" x14ac:dyDescent="0.2">
      <c r="B51" s="277"/>
      <c r="C51" s="81" t="s">
        <v>70</v>
      </c>
      <c r="D51" s="83">
        <f>IFERROR((D50*$M$7*100)/D45,"-")</f>
        <v>11.981706879380999</v>
      </c>
      <c r="E51" s="82">
        <f t="shared" ref="E51:K51" si="39">IFERROR((E50*$M$7*100)/E45,"-")</f>
        <v>10.911895828158297</v>
      </c>
      <c r="F51" s="83">
        <f t="shared" si="39"/>
        <v>10.656858702386002</v>
      </c>
      <c r="G51" s="82">
        <f t="shared" si="39"/>
        <v>10.172191318198937</v>
      </c>
      <c r="H51" s="83">
        <f t="shared" si="39"/>
        <v>12.565821532770279</v>
      </c>
      <c r="I51" s="82">
        <f t="shared" si="39"/>
        <v>11.138054623702111</v>
      </c>
      <c r="J51" s="22">
        <f t="shared" si="39"/>
        <v>11.776864727375184</v>
      </c>
      <c r="K51" s="23">
        <f t="shared" si="39"/>
        <v>10.778619963292405</v>
      </c>
      <c r="O51" s="42">
        <f t="shared" ref="O51" si="40">IFERROR((E51-D51)/D51,"-")</f>
        <v>-8.9287032473120462E-2</v>
      </c>
      <c r="P51" s="48">
        <f t="shared" ref="P51" si="41">IFERROR((G51-F51)/F51,"-")</f>
        <v>-4.5479385410125639E-2</v>
      </c>
      <c r="Q51" s="48">
        <f t="shared" ref="Q51" si="42">IFERROR((I51-H51)/H51,"-")</f>
        <v>-0.1136230452855557</v>
      </c>
      <c r="R51" s="45">
        <f t="shared" ref="R51" si="43">IFERROR((K51-J51)/J51,"-")</f>
        <v>-8.4763202022892448E-2</v>
      </c>
    </row>
    <row r="52" spans="2:18" s="10" customFormat="1" ht="18" customHeight="1" x14ac:dyDescent="0.2">
      <c r="B52" s="277"/>
      <c r="C52" s="14" t="s">
        <v>23</v>
      </c>
      <c r="D52" s="67">
        <v>55707</v>
      </c>
      <c r="E52" s="68">
        <v>43990</v>
      </c>
      <c r="F52" s="67">
        <v>36261</v>
      </c>
      <c r="G52" s="68">
        <v>16960</v>
      </c>
      <c r="H52" s="67">
        <v>26426</v>
      </c>
      <c r="I52" s="68" t="s">
        <v>100</v>
      </c>
      <c r="J52" s="15">
        <f t="shared" si="37"/>
        <v>118394</v>
      </c>
      <c r="K52" s="16" t="str">
        <f t="shared" si="38"/>
        <v>-</v>
      </c>
      <c r="O52" s="42">
        <f t="shared" si="2"/>
        <v>-0.21033263324178289</v>
      </c>
      <c r="P52" s="48">
        <f t="shared" si="3"/>
        <v>-0.53227985990458071</v>
      </c>
      <c r="Q52" s="48" t="str">
        <f t="shared" si="4"/>
        <v>-</v>
      </c>
      <c r="R52" s="45" t="str">
        <f t="shared" si="5"/>
        <v>-</v>
      </c>
    </row>
    <row r="53" spans="2:18" s="17" customFormat="1" ht="18" customHeight="1" x14ac:dyDescent="0.2">
      <c r="B53" s="277"/>
      <c r="C53" s="18" t="s">
        <v>29</v>
      </c>
      <c r="D53" s="19">
        <f>IFERROR(D49/D50,"-")</f>
        <v>0.25732756784390576</v>
      </c>
      <c r="E53" s="20">
        <f>IFERROR(E49/E50,"-")</f>
        <v>0.18440285632128822</v>
      </c>
      <c r="F53" s="19">
        <f t="shared" ref="F53:K53" si="44">IFERROR(F49/F50,"-")</f>
        <v>0.28220588882531578</v>
      </c>
      <c r="G53" s="20">
        <f t="shared" si="44"/>
        <v>0.25583879582422919</v>
      </c>
      <c r="H53" s="19">
        <f t="shared" si="44"/>
        <v>0.33155111982415492</v>
      </c>
      <c r="I53" s="20">
        <f t="shared" si="44"/>
        <v>0.19820690275031458</v>
      </c>
      <c r="J53" s="19">
        <f t="shared" si="44"/>
        <v>0.28302771383268449</v>
      </c>
      <c r="K53" s="20">
        <f t="shared" si="44"/>
        <v>0.20542924366568532</v>
      </c>
      <c r="O53" s="42">
        <f t="shared" si="2"/>
        <v>-0.28339253401273151</v>
      </c>
      <c r="P53" s="48">
        <f t="shared" si="3"/>
        <v>-9.3432114796894616E-2</v>
      </c>
      <c r="Q53" s="48">
        <f t="shared" si="4"/>
        <v>-0.40218297903672362</v>
      </c>
      <c r="R53" s="45">
        <f t="shared" si="5"/>
        <v>-0.27417269184060367</v>
      </c>
    </row>
    <row r="54" spans="2:18" s="17" customFormat="1" ht="18" customHeight="1" x14ac:dyDescent="0.2">
      <c r="B54" s="277"/>
      <c r="C54" s="18" t="s">
        <v>28</v>
      </c>
      <c r="D54" s="19">
        <f>IFERROR(D49/D52,"-")</f>
        <v>0.4337156910262624</v>
      </c>
      <c r="E54" s="20">
        <f>IFERROR(E49/E52,"-")</f>
        <v>0.34987497158445102</v>
      </c>
      <c r="F54" s="19">
        <f t="shared" ref="F54:K54" si="45">IFERROR(F49/F52,"-")</f>
        <v>0.35365820027026279</v>
      </c>
      <c r="G54" s="20">
        <f t="shared" si="45"/>
        <v>0.62134433962264146</v>
      </c>
      <c r="H54" s="19">
        <f t="shared" si="45"/>
        <v>0.63358056459547418</v>
      </c>
      <c r="I54" s="20" t="str">
        <f t="shared" si="45"/>
        <v>-</v>
      </c>
      <c r="J54" s="19">
        <f t="shared" si="45"/>
        <v>0.45380678074902442</v>
      </c>
      <c r="K54" s="20" t="str">
        <f t="shared" si="45"/>
        <v>-</v>
      </c>
      <c r="O54" s="42">
        <f t="shared" si="2"/>
        <v>-0.19330801531165873</v>
      </c>
      <c r="P54" s="48">
        <f t="shared" si="3"/>
        <v>0.75690635519780125</v>
      </c>
      <c r="Q54" s="48" t="str">
        <f t="shared" si="4"/>
        <v>-</v>
      </c>
      <c r="R54" s="45" t="str">
        <f t="shared" si="5"/>
        <v>-</v>
      </c>
    </row>
    <row r="55" spans="2:18" s="10" customFormat="1" ht="18" customHeight="1" x14ac:dyDescent="0.2">
      <c r="B55" s="277"/>
      <c r="C55" s="14" t="s">
        <v>24</v>
      </c>
      <c r="D55" s="67">
        <v>10640465.639999999</v>
      </c>
      <c r="E55" s="270">
        <f>10554496.48-1768395</f>
        <v>8786101.4800000004</v>
      </c>
      <c r="F55" s="67">
        <v>5496670</v>
      </c>
      <c r="G55" s="68">
        <v>4481703</v>
      </c>
      <c r="H55" s="67">
        <v>5132690</v>
      </c>
      <c r="I55" s="68">
        <v>4237909</v>
      </c>
      <c r="J55" s="15">
        <f t="shared" ref="J55:J56" si="46">IFERROR(D55+F55+H55,"-")</f>
        <v>21269825.640000001</v>
      </c>
      <c r="K55" s="16">
        <f t="shared" ref="K55:K56" si="47">IFERROR(E55+G55+I55,"-")</f>
        <v>17505713.48</v>
      </c>
      <c r="O55" s="42">
        <f t="shared" si="2"/>
        <v>-0.17427471905261455</v>
      </c>
      <c r="P55" s="48">
        <f t="shared" si="3"/>
        <v>-0.18465125248559583</v>
      </c>
      <c r="Q55" s="48">
        <f t="shared" si="4"/>
        <v>-0.1743298348429381</v>
      </c>
      <c r="R55" s="45">
        <f t="shared" si="5"/>
        <v>-0.17696958234209578</v>
      </c>
    </row>
    <row r="56" spans="2:18" s="10" customFormat="1" ht="18" customHeight="1" x14ac:dyDescent="0.2">
      <c r="B56" s="277"/>
      <c r="C56" s="14" t="s">
        <v>25</v>
      </c>
      <c r="D56" s="67">
        <v>324108</v>
      </c>
      <c r="E56" s="270">
        <f>337852-78631</f>
        <v>259221</v>
      </c>
      <c r="F56" s="67">
        <v>166023</v>
      </c>
      <c r="G56" s="68">
        <v>128502</v>
      </c>
      <c r="H56" s="67">
        <v>159524</v>
      </c>
      <c r="I56" s="68">
        <v>128297</v>
      </c>
      <c r="J56" s="15">
        <f t="shared" si="46"/>
        <v>649655</v>
      </c>
      <c r="K56" s="16">
        <f t="shared" si="47"/>
        <v>516020</v>
      </c>
      <c r="O56" s="42">
        <f t="shared" si="2"/>
        <v>-0.20020178459032176</v>
      </c>
      <c r="P56" s="48">
        <f t="shared" si="3"/>
        <v>-0.22599880739415623</v>
      </c>
      <c r="Q56" s="48">
        <f t="shared" si="4"/>
        <v>-0.19575110955091396</v>
      </c>
      <c r="R56" s="45">
        <f t="shared" si="5"/>
        <v>-0.20570148771270905</v>
      </c>
    </row>
    <row r="57" spans="2:18" s="24" customFormat="1" ht="18" customHeight="1" x14ac:dyDescent="0.2">
      <c r="B57" s="277"/>
      <c r="C57" s="25" t="s">
        <v>3</v>
      </c>
      <c r="D57" s="22">
        <f>IFERROR(D55/D56,"-")</f>
        <v>32.83</v>
      </c>
      <c r="E57" s="23">
        <f t="shared" ref="E57:K57" si="48">IFERROR(E55/E56,"-")</f>
        <v>33.894250388664503</v>
      </c>
      <c r="F57" s="22">
        <f t="shared" si="48"/>
        <v>33.107882642766363</v>
      </c>
      <c r="G57" s="23">
        <f t="shared" si="48"/>
        <v>34.876523322594203</v>
      </c>
      <c r="H57" s="22">
        <f t="shared" si="48"/>
        <v>32.175033223840927</v>
      </c>
      <c r="I57" s="23">
        <f t="shared" si="48"/>
        <v>33.032019454858649</v>
      </c>
      <c r="J57" s="22">
        <f t="shared" si="48"/>
        <v>32.740186160346646</v>
      </c>
      <c r="K57" s="23">
        <f t="shared" si="48"/>
        <v>33.924486415255224</v>
      </c>
      <c r="O57" s="42">
        <f t="shared" si="2"/>
        <v>3.2417008488105532E-2</v>
      </c>
      <c r="P57" s="48">
        <f t="shared" si="3"/>
        <v>5.3420531264758014E-2</v>
      </c>
      <c r="Q57" s="48">
        <f t="shared" si="4"/>
        <v>2.663513119180605E-2</v>
      </c>
      <c r="R57" s="45">
        <f t="shared" si="5"/>
        <v>3.6172679321626648E-2</v>
      </c>
    </row>
    <row r="58" spans="2:18" s="10" customFormat="1" ht="18" customHeight="1" x14ac:dyDescent="0.2">
      <c r="B58" s="277"/>
      <c r="C58" s="14" t="s">
        <v>26</v>
      </c>
      <c r="D58" s="67">
        <v>8767306</v>
      </c>
      <c r="E58" s="270">
        <f>11218194-1381267</f>
        <v>9836927</v>
      </c>
      <c r="F58" s="67">
        <v>4723785</v>
      </c>
      <c r="G58" s="68">
        <v>5177211</v>
      </c>
      <c r="H58" s="67">
        <v>4115836</v>
      </c>
      <c r="I58" s="68">
        <v>4864485</v>
      </c>
      <c r="J58" s="15">
        <f>IFERROR(D58+F58+H58,"-")</f>
        <v>17606927</v>
      </c>
      <c r="K58" s="16">
        <f>IFERROR(E58+G58+I58,"-")</f>
        <v>19878623</v>
      </c>
      <c r="O58" s="42">
        <f t="shared" si="2"/>
        <v>0.12200110273326835</v>
      </c>
      <c r="P58" s="48">
        <f t="shared" si="3"/>
        <v>9.5987857195024756E-2</v>
      </c>
      <c r="Q58" s="48">
        <f t="shared" si="4"/>
        <v>0.18189475965514662</v>
      </c>
      <c r="R58" s="45">
        <f t="shared" si="5"/>
        <v>0.1290228556067734</v>
      </c>
    </row>
    <row r="59" spans="2:18" s="4" customFormat="1" ht="18" customHeight="1" x14ac:dyDescent="0.2">
      <c r="B59" s="277"/>
      <c r="C59" s="21" t="s">
        <v>30</v>
      </c>
      <c r="D59" s="22">
        <f t="shared" ref="D59:K59" si="49">IFERROR((D58*$M$7)/D45,"-")</f>
        <v>11.188098092898043</v>
      </c>
      <c r="E59" s="23">
        <f t="shared" si="49"/>
        <v>12.860577337917871</v>
      </c>
      <c r="F59" s="22">
        <f t="shared" si="49"/>
        <v>11.078013574545675</v>
      </c>
      <c r="G59" s="23">
        <f t="shared" si="49"/>
        <v>12.785525804001951</v>
      </c>
      <c r="H59" s="22">
        <f>IFERROR((H58*$M$7)/H45,"-")</f>
        <v>10.241561344611002</v>
      </c>
      <c r="I59" s="23">
        <f>IFERROR((I58*$M$7)/I45,"-")</f>
        <v>12.174388739479499</v>
      </c>
      <c r="J59" s="22">
        <f t="shared" si="49"/>
        <v>10.9229900777931</v>
      </c>
      <c r="K59" s="23">
        <f t="shared" si="49"/>
        <v>12.666508395143211</v>
      </c>
      <c r="O59" s="42">
        <f t="shared" si="2"/>
        <v>0.14948735979366148</v>
      </c>
      <c r="P59" s="48">
        <f t="shared" si="3"/>
        <v>0.15413523534396853</v>
      </c>
      <c r="Q59" s="48">
        <f t="shared" si="4"/>
        <v>0.18872389959227548</v>
      </c>
      <c r="R59" s="45">
        <f t="shared" si="5"/>
        <v>0.15961914319548426</v>
      </c>
    </row>
    <row r="60" spans="2:18" s="10" customFormat="1" ht="18" customHeight="1" x14ac:dyDescent="0.2">
      <c r="B60" s="277"/>
      <c r="C60" s="14" t="s">
        <v>27</v>
      </c>
      <c r="D60" s="67">
        <v>58059</v>
      </c>
      <c r="E60" s="270">
        <f>73785-14891</f>
        <v>58894</v>
      </c>
      <c r="F60" s="67">
        <v>32190</v>
      </c>
      <c r="G60" s="68">
        <v>34427</v>
      </c>
      <c r="H60" s="67">
        <v>32143</v>
      </c>
      <c r="I60" s="68">
        <v>36605</v>
      </c>
      <c r="J60" s="15">
        <f>IFERROR(D60+F60+H60,"-")</f>
        <v>122392</v>
      </c>
      <c r="K60" s="16">
        <f>IFERROR(E60+G60+I60,"-")</f>
        <v>129926</v>
      </c>
      <c r="O60" s="42">
        <f t="shared" si="2"/>
        <v>1.4381921838130179E-2</v>
      </c>
      <c r="P60" s="48">
        <f t="shared" si="3"/>
        <v>6.949363156259708E-2</v>
      </c>
      <c r="Q60" s="48">
        <f t="shared" si="4"/>
        <v>0.13881716081261861</v>
      </c>
      <c r="R60" s="45">
        <f t="shared" si="5"/>
        <v>6.1556310869991505E-2</v>
      </c>
    </row>
    <row r="61" spans="2:18" s="4" customFormat="1" ht="18" customHeight="1" thickBot="1" x14ac:dyDescent="0.25">
      <c r="B61" s="278"/>
      <c r="C61" s="34" t="s">
        <v>31</v>
      </c>
      <c r="D61" s="35">
        <f t="shared" ref="D61:K61" si="50">IFERROR((D60*100)/D45,"-")</f>
        <v>3.0870837403168063</v>
      </c>
      <c r="E61" s="36">
        <f t="shared" si="50"/>
        <v>3.2081955139518974</v>
      </c>
      <c r="F61" s="35">
        <f t="shared" si="50"/>
        <v>3.145440723246165</v>
      </c>
      <c r="G61" s="36">
        <f t="shared" si="50"/>
        <v>3.5425065803960791</v>
      </c>
      <c r="H61" s="35">
        <f>IFERROR((H60*100)/H45,"-")</f>
        <v>3.3326006581634875</v>
      </c>
      <c r="I61" s="36">
        <f>IFERROR((I60*100)/I45,"-")</f>
        <v>3.8171521052472417</v>
      </c>
      <c r="J61" s="35">
        <f t="shared" si="50"/>
        <v>3.1637325695762932</v>
      </c>
      <c r="K61" s="36">
        <f t="shared" si="50"/>
        <v>3.4494944010696336</v>
      </c>
      <c r="O61" s="42">
        <f t="shared" si="2"/>
        <v>3.9231774653013522E-2</v>
      </c>
      <c r="P61" s="48">
        <f t="shared" si="3"/>
        <v>0.12623536479814293</v>
      </c>
      <c r="Q61" s="48">
        <f t="shared" si="4"/>
        <v>0.14539739284297518</v>
      </c>
      <c r="R61" s="45">
        <f t="shared" si="5"/>
        <v>9.032426894780532E-2</v>
      </c>
    </row>
    <row r="62" spans="2:18" ht="18" customHeight="1" x14ac:dyDescent="0.25">
      <c r="B62" s="273" t="s">
        <v>90</v>
      </c>
      <c r="C62" s="94" t="s">
        <v>84</v>
      </c>
      <c r="D62" s="65">
        <v>0</v>
      </c>
      <c r="E62" s="66">
        <v>95689</v>
      </c>
      <c r="F62" s="65">
        <v>0</v>
      </c>
      <c r="G62" s="66">
        <v>46350</v>
      </c>
      <c r="H62" s="65">
        <v>0</v>
      </c>
      <c r="I62" s="66">
        <v>53184</v>
      </c>
      <c r="J62" s="86">
        <f t="shared" ref="J62:J64" si="51">IFERROR(D62+F62+H62,"-")</f>
        <v>0</v>
      </c>
      <c r="K62" s="87">
        <f t="shared" ref="K62:K64" si="52">IFERROR(E62+G62+I62,"-")</f>
        <v>195223</v>
      </c>
      <c r="O62" s="42" t="str">
        <f t="shared" ref="O62:O69" si="53">IFERROR((E62-D62)/D62,"-")</f>
        <v>-</v>
      </c>
      <c r="P62" s="48" t="str">
        <f t="shared" ref="P62:P69" si="54">IFERROR((G62-F62)/F62,"-")</f>
        <v>-</v>
      </c>
      <c r="Q62" s="48" t="str">
        <f t="shared" ref="Q62:Q69" si="55">IFERROR((I62-H62)/H62,"-")</f>
        <v>-</v>
      </c>
      <c r="R62" s="45" t="str">
        <f t="shared" ref="R62:R69" si="56">IFERROR((K62-J62)/J62,"-")</f>
        <v>-</v>
      </c>
    </row>
    <row r="63" spans="2:18" ht="18" customHeight="1" x14ac:dyDescent="0.25">
      <c r="B63" s="274"/>
      <c r="C63" s="95" t="s">
        <v>85</v>
      </c>
      <c r="D63" s="67">
        <v>0</v>
      </c>
      <c r="E63" s="68">
        <v>1768696</v>
      </c>
      <c r="F63" s="67">
        <v>0</v>
      </c>
      <c r="G63" s="68">
        <v>858267</v>
      </c>
      <c r="H63" s="67">
        <v>0</v>
      </c>
      <c r="I63" s="68">
        <v>920385</v>
      </c>
      <c r="J63" s="88">
        <f t="shared" si="51"/>
        <v>0</v>
      </c>
      <c r="K63" s="89">
        <f t="shared" si="52"/>
        <v>3547348</v>
      </c>
      <c r="O63" s="42" t="str">
        <f t="shared" si="53"/>
        <v>-</v>
      </c>
      <c r="P63" s="48" t="str">
        <f t="shared" si="54"/>
        <v>-</v>
      </c>
      <c r="Q63" s="48" t="str">
        <f t="shared" si="55"/>
        <v>-</v>
      </c>
      <c r="R63" s="45" t="str">
        <f t="shared" si="56"/>
        <v>-</v>
      </c>
    </row>
    <row r="64" spans="2:18" ht="18" customHeight="1" x14ac:dyDescent="0.25">
      <c r="B64" s="274"/>
      <c r="C64" s="95" t="s">
        <v>86</v>
      </c>
      <c r="D64" s="67">
        <v>0</v>
      </c>
      <c r="E64" s="68">
        <v>78629</v>
      </c>
      <c r="F64" s="67">
        <v>0</v>
      </c>
      <c r="G64" s="68">
        <v>37946</v>
      </c>
      <c r="H64" s="67">
        <v>0</v>
      </c>
      <c r="I64" s="68">
        <v>44396</v>
      </c>
      <c r="J64" s="88">
        <f t="shared" si="51"/>
        <v>0</v>
      </c>
      <c r="K64" s="89">
        <f t="shared" si="52"/>
        <v>160971</v>
      </c>
      <c r="O64" s="42" t="str">
        <f t="shared" si="53"/>
        <v>-</v>
      </c>
      <c r="P64" s="48" t="str">
        <f t="shared" si="54"/>
        <v>-</v>
      </c>
      <c r="Q64" s="48" t="str">
        <f t="shared" si="55"/>
        <v>-</v>
      </c>
      <c r="R64" s="45" t="str">
        <f t="shared" si="56"/>
        <v>-</v>
      </c>
    </row>
    <row r="65" spans="2:18" ht="18" customHeight="1" x14ac:dyDescent="0.25">
      <c r="B65" s="274"/>
      <c r="C65" s="96" t="s">
        <v>20</v>
      </c>
      <c r="D65" s="164" t="str">
        <f t="shared" ref="D65:K65" si="57">IFERROR(D63/D64,"-")</f>
        <v>-</v>
      </c>
      <c r="E65" s="165">
        <f t="shared" si="57"/>
        <v>22.494194254028411</v>
      </c>
      <c r="F65" s="164" t="str">
        <f t="shared" si="57"/>
        <v>-</v>
      </c>
      <c r="G65" s="165">
        <f t="shared" si="57"/>
        <v>22.618115216360092</v>
      </c>
      <c r="H65" s="164" t="str">
        <f t="shared" si="57"/>
        <v>-</v>
      </c>
      <c r="I65" s="165">
        <f t="shared" si="57"/>
        <v>20.731259572934498</v>
      </c>
      <c r="J65" s="164" t="str">
        <f t="shared" si="57"/>
        <v>-</v>
      </c>
      <c r="K65" s="165">
        <f t="shared" si="57"/>
        <v>22.037186822471128</v>
      </c>
      <c r="O65" s="42" t="str">
        <f t="shared" si="53"/>
        <v>-</v>
      </c>
      <c r="P65" s="48" t="str">
        <f t="shared" si="54"/>
        <v>-</v>
      </c>
      <c r="Q65" s="48" t="str">
        <f t="shared" si="55"/>
        <v>-</v>
      </c>
      <c r="R65" s="45" t="str">
        <f t="shared" si="56"/>
        <v>-</v>
      </c>
    </row>
    <row r="66" spans="2:18" ht="18" customHeight="1" x14ac:dyDescent="0.25">
      <c r="B66" s="274"/>
      <c r="C66" s="97" t="s">
        <v>91</v>
      </c>
      <c r="D66" s="84">
        <v>0</v>
      </c>
      <c r="E66" s="85">
        <v>17060</v>
      </c>
      <c r="F66" s="84">
        <v>0</v>
      </c>
      <c r="G66" s="85">
        <v>9799</v>
      </c>
      <c r="H66" s="84">
        <v>0</v>
      </c>
      <c r="I66" s="85">
        <v>8788</v>
      </c>
      <c r="J66" s="90">
        <f>IFERROR(D66+F66+H66,"-")</f>
        <v>0</v>
      </c>
      <c r="K66" s="91">
        <f>IFERROR(E66+G66+I66,"-")</f>
        <v>35647</v>
      </c>
      <c r="O66" s="42" t="str">
        <f t="shared" si="53"/>
        <v>-</v>
      </c>
      <c r="P66" s="48" t="str">
        <f t="shared" si="54"/>
        <v>-</v>
      </c>
      <c r="Q66" s="48" t="str">
        <f t="shared" si="55"/>
        <v>-</v>
      </c>
      <c r="R66" s="45" t="str">
        <f t="shared" si="56"/>
        <v>-</v>
      </c>
    </row>
    <row r="67" spans="2:18" ht="18" customHeight="1" x14ac:dyDescent="0.25">
      <c r="B67" s="274"/>
      <c r="C67" s="98" t="s">
        <v>87</v>
      </c>
      <c r="D67" s="164">
        <f>IFERROR((D62*100)/D16,"-")</f>
        <v>0</v>
      </c>
      <c r="E67" s="165">
        <f t="shared" ref="E67:K67" si="58">IFERROR((E62*100)/E16,"-")</f>
        <v>4.2471645696932416</v>
      </c>
      <c r="F67" s="164">
        <f>IFERROR((F62*100)/F16,"-")</f>
        <v>0</v>
      </c>
      <c r="G67" s="165">
        <f t="shared" si="58"/>
        <v>3.8196373033937498</v>
      </c>
      <c r="H67" s="164">
        <f t="shared" si="58"/>
        <v>0</v>
      </c>
      <c r="I67" s="165">
        <f t="shared" si="58"/>
        <v>4.5108343482936792</v>
      </c>
      <c r="J67" s="164">
        <f t="shared" si="58"/>
        <v>0</v>
      </c>
      <c r="K67" s="165">
        <f t="shared" si="58"/>
        <v>4.2024082214563201</v>
      </c>
      <c r="O67" s="42" t="str">
        <f t="shared" si="53"/>
        <v>-</v>
      </c>
      <c r="P67" s="48" t="str">
        <f t="shared" si="54"/>
        <v>-</v>
      </c>
      <c r="Q67" s="48" t="str">
        <f t="shared" si="55"/>
        <v>-</v>
      </c>
      <c r="R67" s="45" t="str">
        <f t="shared" si="56"/>
        <v>-</v>
      </c>
    </row>
    <row r="68" spans="2:18" ht="18" customHeight="1" x14ac:dyDescent="0.25">
      <c r="B68" s="274"/>
      <c r="C68" s="99" t="s">
        <v>89</v>
      </c>
      <c r="D68" s="69">
        <v>0</v>
      </c>
      <c r="E68" s="70">
        <v>0</v>
      </c>
      <c r="F68" s="69">
        <v>0</v>
      </c>
      <c r="G68" s="70">
        <v>0</v>
      </c>
      <c r="H68" s="69">
        <v>0</v>
      </c>
      <c r="I68" s="70">
        <v>0</v>
      </c>
      <c r="J68" s="92">
        <f>IFERROR(D68+F68+H68,"-")</f>
        <v>0</v>
      </c>
      <c r="K68" s="93">
        <f>IFERROR(E68+G68+I68,"-")</f>
        <v>0</v>
      </c>
      <c r="O68" s="42" t="str">
        <f t="shared" si="53"/>
        <v>-</v>
      </c>
      <c r="P68" s="48" t="str">
        <f t="shared" si="54"/>
        <v>-</v>
      </c>
      <c r="Q68" s="48" t="str">
        <f t="shared" si="55"/>
        <v>-</v>
      </c>
      <c r="R68" s="45" t="str">
        <f t="shared" si="56"/>
        <v>-</v>
      </c>
    </row>
    <row r="69" spans="2:18" ht="18" customHeight="1" thickBot="1" x14ac:dyDescent="0.3">
      <c r="B69" s="275"/>
      <c r="C69" s="100" t="s">
        <v>88</v>
      </c>
      <c r="D69" s="167">
        <f t="shared" ref="D69:E69" si="59">IFERROR(D68/D17,"-")</f>
        <v>0</v>
      </c>
      <c r="E69" s="168">
        <f t="shared" si="59"/>
        <v>0</v>
      </c>
      <c r="F69" s="167">
        <f>IFERROR(F68/F17,"-")</f>
        <v>0</v>
      </c>
      <c r="G69" s="168">
        <f t="shared" ref="G69:K69" si="60">IFERROR(G68/G17,"-")</f>
        <v>0</v>
      </c>
      <c r="H69" s="167">
        <f t="shared" si="60"/>
        <v>0</v>
      </c>
      <c r="I69" s="168">
        <f t="shared" si="60"/>
        <v>0</v>
      </c>
      <c r="J69" s="167">
        <f t="shared" si="60"/>
        <v>0</v>
      </c>
      <c r="K69" s="168">
        <f t="shared" si="60"/>
        <v>0</v>
      </c>
      <c r="O69" s="43" t="str">
        <f t="shared" si="53"/>
        <v>-</v>
      </c>
      <c r="P69" s="49" t="str">
        <f t="shared" si="54"/>
        <v>-</v>
      </c>
      <c r="Q69" s="49" t="str">
        <f t="shared" si="55"/>
        <v>-</v>
      </c>
      <c r="R69" s="46" t="str">
        <f t="shared" si="56"/>
        <v>-</v>
      </c>
    </row>
    <row r="71" spans="2:18" x14ac:dyDescent="0.25">
      <c r="C71" s="9" t="s">
        <v>43</v>
      </c>
    </row>
  </sheetData>
  <sheetProtection password="A490" sheet="1" objects="1" scenarios="1"/>
  <mergeCells count="11">
    <mergeCell ref="B62:B69"/>
    <mergeCell ref="B16:B44"/>
    <mergeCell ref="B45:B61"/>
    <mergeCell ref="H5:I5"/>
    <mergeCell ref="J5:K5"/>
    <mergeCell ref="H7:I7"/>
    <mergeCell ref="J7:K7"/>
    <mergeCell ref="D9:E14"/>
    <mergeCell ref="F9:G14"/>
    <mergeCell ref="H9:I14"/>
    <mergeCell ref="J9:K14"/>
  </mergeCells>
  <pageMargins left="0.24" right="0.24" top="0.3" bottom="0.3" header="0.31496062992125984" footer="0.31496062992125984"/>
  <pageSetup paperSize="9" scale="6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B1:R71"/>
  <sheetViews>
    <sheetView zoomScaleNormal="100" workbookViewId="0">
      <pane xSplit="3" ySplit="15" topLeftCell="E61" activePane="bottomRight" state="frozen"/>
      <selection activeCell="C16" sqref="C16"/>
      <selection pane="topRight" activeCell="C16" sqref="C16"/>
      <selection pane="bottomLeft" activeCell="C16" sqref="C16"/>
      <selection pane="bottomRight" activeCell="H68" sqref="H68"/>
    </sheetView>
  </sheetViews>
  <sheetFormatPr baseColWidth="10" defaultColWidth="11.42578125" defaultRowHeight="15" x14ac:dyDescent="0.25"/>
  <cols>
    <col min="1" max="1" width="1.42578125" style="1" customWidth="1"/>
    <col min="2" max="2" width="12" style="2" customWidth="1"/>
    <col min="3" max="3" width="47.28515625" style="1" bestFit="1" customWidth="1"/>
    <col min="4" max="4" width="11.7109375" style="1" customWidth="1"/>
    <col min="5" max="5" width="11.7109375" style="1" bestFit="1" customWidth="1"/>
    <col min="6" max="9" width="11.42578125" style="1"/>
    <col min="10" max="11" width="13.140625" style="1" customWidth="1"/>
    <col min="12" max="12" width="8.42578125" style="1" customWidth="1"/>
    <col min="13" max="13" width="6.5703125" style="1" customWidth="1"/>
    <col min="14" max="14" width="8" style="1" customWidth="1"/>
    <col min="15" max="18" width="8.7109375" style="1" customWidth="1"/>
    <col min="19" max="16384" width="11.42578125" style="1"/>
  </cols>
  <sheetData>
    <row r="1" spans="2:18" ht="9.75" customHeight="1" x14ac:dyDescent="0.25"/>
    <row r="2" spans="2:18" s="38" customFormat="1" ht="48" customHeight="1" thickBot="1" x14ac:dyDescent="0.3">
      <c r="B2" s="56" t="s">
        <v>63</v>
      </c>
      <c r="C2" s="57"/>
      <c r="D2" s="58"/>
      <c r="E2" s="59" t="s">
        <v>64</v>
      </c>
      <c r="F2" s="57"/>
      <c r="G2" s="57"/>
      <c r="H2" s="57"/>
      <c r="I2" s="57"/>
      <c r="J2" s="57"/>
      <c r="K2" s="57"/>
    </row>
    <row r="3" spans="2:18" ht="9.1999999999999993" customHeight="1" thickTop="1" x14ac:dyDescent="0.25">
      <c r="Q3" s="37"/>
      <c r="R3" s="4"/>
    </row>
    <row r="4" spans="2:18" s="4" customFormat="1" ht="21.75" customHeight="1" x14ac:dyDescent="0.2">
      <c r="C4" s="3"/>
      <c r="Q4" s="37"/>
    </row>
    <row r="5" spans="2:18" s="4" customFormat="1" ht="28.7" x14ac:dyDescent="0.45">
      <c r="B5" s="55" t="s">
        <v>61</v>
      </c>
      <c r="C5" s="3"/>
      <c r="H5" s="279" t="s">
        <v>12</v>
      </c>
      <c r="I5" s="279"/>
      <c r="J5" s="311" t="str">
        <f>'Hoja de Trabajo RG'!J5:K5</f>
        <v>Mayo</v>
      </c>
      <c r="K5" s="311"/>
      <c r="Q5" s="37"/>
    </row>
    <row r="6" spans="2:18" s="4" customFormat="1" ht="5.25" customHeight="1" thickBot="1" x14ac:dyDescent="0.25">
      <c r="B6" s="3"/>
      <c r="C6" s="3"/>
      <c r="H6" s="40"/>
      <c r="I6" s="40"/>
      <c r="J6" s="39"/>
      <c r="K6" s="39"/>
    </row>
    <row r="7" spans="2:18" s="4" customFormat="1" ht="19.5" thickBot="1" x14ac:dyDescent="0.25">
      <c r="B7" s="3"/>
      <c r="C7" s="3"/>
      <c r="H7" s="279" t="s">
        <v>32</v>
      </c>
      <c r="I7" s="279"/>
      <c r="J7" s="311" t="str">
        <f>'Hoja de Trabajo RG'!J7:K7</f>
        <v>Febrero</v>
      </c>
      <c r="K7" s="311"/>
      <c r="M7" s="5">
        <f>'Hoja de Trabajo RG'!M7</f>
        <v>2.4</v>
      </c>
    </row>
    <row r="8" spans="2:18" ht="14.25" customHeight="1" thickBot="1" x14ac:dyDescent="0.4">
      <c r="B8" s="6"/>
    </row>
    <row r="9" spans="2:18" x14ac:dyDescent="0.25">
      <c r="D9" s="281"/>
      <c r="E9" s="282"/>
      <c r="F9" s="287"/>
      <c r="G9" s="288"/>
      <c r="H9" s="293"/>
      <c r="I9" s="294"/>
      <c r="J9" s="299"/>
      <c r="K9" s="300"/>
    </row>
    <row r="10" spans="2:18" x14ac:dyDescent="0.25">
      <c r="D10" s="283"/>
      <c r="E10" s="284"/>
      <c r="F10" s="289"/>
      <c r="G10" s="290"/>
      <c r="H10" s="295"/>
      <c r="I10" s="296"/>
      <c r="J10" s="301"/>
      <c r="K10" s="302"/>
    </row>
    <row r="11" spans="2:18" x14ac:dyDescent="0.25">
      <c r="D11" s="283"/>
      <c r="E11" s="284"/>
      <c r="F11" s="289"/>
      <c r="G11" s="290"/>
      <c r="H11" s="295"/>
      <c r="I11" s="296"/>
      <c r="J11" s="301"/>
      <c r="K11" s="302"/>
    </row>
    <row r="12" spans="2:18" x14ac:dyDescent="0.25">
      <c r="D12" s="283"/>
      <c r="E12" s="284"/>
      <c r="F12" s="289"/>
      <c r="G12" s="290"/>
      <c r="H12" s="295"/>
      <c r="I12" s="296"/>
      <c r="J12" s="301"/>
      <c r="K12" s="302"/>
    </row>
    <row r="13" spans="2:18" x14ac:dyDescent="0.25">
      <c r="D13" s="283"/>
      <c r="E13" s="284"/>
      <c r="F13" s="289"/>
      <c r="G13" s="290"/>
      <c r="H13" s="295"/>
      <c r="I13" s="296"/>
      <c r="J13" s="301"/>
      <c r="K13" s="302"/>
    </row>
    <row r="14" spans="2:18" ht="15.75" thickBot="1" x14ac:dyDescent="0.3">
      <c r="D14" s="285"/>
      <c r="E14" s="286"/>
      <c r="F14" s="291"/>
      <c r="G14" s="292"/>
      <c r="H14" s="297"/>
      <c r="I14" s="298"/>
      <c r="J14" s="303"/>
      <c r="K14" s="304"/>
    </row>
    <row r="15" spans="2:18" s="8" customFormat="1" ht="28.7" customHeight="1" thickBot="1" x14ac:dyDescent="0.3">
      <c r="B15" s="7"/>
      <c r="C15" s="60" t="s">
        <v>0</v>
      </c>
      <c r="D15" s="61">
        <v>2019</v>
      </c>
      <c r="E15" s="63">
        <v>2020</v>
      </c>
      <c r="F15" s="62">
        <v>2019</v>
      </c>
      <c r="G15" s="64">
        <v>2020</v>
      </c>
      <c r="H15" s="62">
        <v>2019</v>
      </c>
      <c r="I15" s="64">
        <v>2020</v>
      </c>
      <c r="J15" s="61">
        <v>2019</v>
      </c>
      <c r="K15" s="64">
        <v>2020</v>
      </c>
      <c r="O15" s="41" t="s">
        <v>44</v>
      </c>
      <c r="P15" s="47" t="s">
        <v>44</v>
      </c>
      <c r="Q15" s="47" t="s">
        <v>44</v>
      </c>
      <c r="R15" s="44" t="s">
        <v>44</v>
      </c>
    </row>
    <row r="16" spans="2:18" s="10" customFormat="1" ht="18" customHeight="1" thickTop="1" x14ac:dyDescent="0.2">
      <c r="B16" s="308" t="s">
        <v>9</v>
      </c>
      <c r="C16" s="11" t="s">
        <v>2</v>
      </c>
      <c r="D16" s="77">
        <v>430281</v>
      </c>
      <c r="E16" s="78">
        <v>476209</v>
      </c>
      <c r="F16" s="77">
        <v>184537</v>
      </c>
      <c r="G16" s="78">
        <v>204950</v>
      </c>
      <c r="H16" s="77">
        <v>222566</v>
      </c>
      <c r="I16" s="78">
        <v>244965</v>
      </c>
      <c r="J16" s="12">
        <f t="shared" ref="J16:K18" si="0">IFERROR(D16+F16+H16,"-")</f>
        <v>837384</v>
      </c>
      <c r="K16" s="13">
        <f t="shared" si="0"/>
        <v>926124</v>
      </c>
      <c r="O16" s="42">
        <f>IFERROR((E16-D16)/D16,"-")</f>
        <v>0.10673954927129016</v>
      </c>
      <c r="P16" s="48">
        <f>IFERROR((G16-F16)/F16,"-")</f>
        <v>0.11061738296385007</v>
      </c>
      <c r="Q16" s="48">
        <f>IFERROR((I16-H16)/H16,"-")</f>
        <v>0.10063981021359956</v>
      </c>
      <c r="R16" s="45">
        <f>IFERROR((K16-J16)/J16,"-")</f>
        <v>0.10597288699091456</v>
      </c>
    </row>
    <row r="17" spans="2:18" s="10" customFormat="1" ht="18" customHeight="1" x14ac:dyDescent="0.2">
      <c r="B17" s="309"/>
      <c r="C17" s="14" t="s">
        <v>35</v>
      </c>
      <c r="D17" s="67">
        <v>8788885.9399999995</v>
      </c>
      <c r="E17" s="68">
        <v>10129690.34</v>
      </c>
      <c r="F17" s="67">
        <v>3952887</v>
      </c>
      <c r="G17" s="68">
        <v>4545290</v>
      </c>
      <c r="H17" s="67">
        <v>4574723</v>
      </c>
      <c r="I17" s="68">
        <v>5269578</v>
      </c>
      <c r="J17" s="15">
        <f t="shared" si="0"/>
        <v>17316495.939999998</v>
      </c>
      <c r="K17" s="16">
        <f t="shared" si="0"/>
        <v>19944558.34</v>
      </c>
      <c r="O17" s="42">
        <f t="shared" ref="O17:O69" si="1">IFERROR((E17-D17)/D17,"-")</f>
        <v>0.15255680972007249</v>
      </c>
      <c r="P17" s="48">
        <f t="shared" ref="P17:P69" si="2">IFERROR((G17-F17)/F17,"-")</f>
        <v>0.14986590813246117</v>
      </c>
      <c r="Q17" s="48">
        <f t="shared" ref="Q17:Q69" si="3">IFERROR((I17-H17)/H17,"-")</f>
        <v>0.15189007072122182</v>
      </c>
      <c r="R17" s="45">
        <f t="shared" ref="R17:R69" si="4">IFERROR((K17-J17)/J17,"-")</f>
        <v>0.15176640869526878</v>
      </c>
    </row>
    <row r="18" spans="2:18" s="10" customFormat="1" ht="18" customHeight="1" x14ac:dyDescent="0.2">
      <c r="B18" s="309"/>
      <c r="C18" s="14" t="s">
        <v>36</v>
      </c>
      <c r="D18" s="67">
        <v>630426.04</v>
      </c>
      <c r="E18" s="68">
        <v>1778307.47</v>
      </c>
      <c r="F18" s="67">
        <v>190810</v>
      </c>
      <c r="G18" s="68">
        <v>531560</v>
      </c>
      <c r="H18" s="67">
        <v>172618</v>
      </c>
      <c r="I18" s="68">
        <v>700193</v>
      </c>
      <c r="J18" s="15">
        <f t="shared" si="0"/>
        <v>993854.04</v>
      </c>
      <c r="K18" s="16">
        <f t="shared" si="0"/>
        <v>3010060.4699999997</v>
      </c>
      <c r="O18" s="42">
        <f t="shared" si="1"/>
        <v>1.8208026908279358</v>
      </c>
      <c r="P18" s="48">
        <f t="shared" si="2"/>
        <v>1.7858078717048373</v>
      </c>
      <c r="Q18" s="48">
        <f t="shared" si="3"/>
        <v>3.0563151003950919</v>
      </c>
      <c r="R18" s="45">
        <f t="shared" si="4"/>
        <v>2.0286745828391459</v>
      </c>
    </row>
    <row r="19" spans="2:18" s="17" customFormat="1" ht="18" customHeight="1" x14ac:dyDescent="0.2">
      <c r="B19" s="309"/>
      <c r="C19" s="18" t="s">
        <v>48</v>
      </c>
      <c r="D19" s="19">
        <f t="shared" ref="D19:K19" si="5">IFERROR(D18/D17,"-")</f>
        <v>7.172991483833048E-2</v>
      </c>
      <c r="E19" s="20">
        <f t="shared" si="5"/>
        <v>0.17555398144579412</v>
      </c>
      <c r="F19" s="19">
        <f t="shared" si="5"/>
        <v>4.8271048476720937E-2</v>
      </c>
      <c r="G19" s="20">
        <f t="shared" si="5"/>
        <v>0.11694743349709259</v>
      </c>
      <c r="H19" s="19">
        <f t="shared" si="5"/>
        <v>3.7732994981335484E-2</v>
      </c>
      <c r="I19" s="20">
        <f t="shared" si="5"/>
        <v>0.13287458692138157</v>
      </c>
      <c r="J19" s="19">
        <f t="shared" si="5"/>
        <v>5.7393484423385037E-2</v>
      </c>
      <c r="K19" s="20">
        <f t="shared" si="5"/>
        <v>0.1509213901198877</v>
      </c>
      <c r="O19" s="42">
        <f t="shared" si="1"/>
        <v>1.4474305015065059</v>
      </c>
      <c r="P19" s="48">
        <f t="shared" si="2"/>
        <v>1.4227241211363233</v>
      </c>
      <c r="Q19" s="48">
        <f t="shared" si="3"/>
        <v>2.5214428906877813</v>
      </c>
      <c r="R19" s="45">
        <f t="shared" si="4"/>
        <v>1.6295910003748546</v>
      </c>
    </row>
    <row r="20" spans="2:18" s="10" customFormat="1" ht="18" customHeight="1" x14ac:dyDescent="0.2">
      <c r="B20" s="309"/>
      <c r="C20" s="14" t="s">
        <v>54</v>
      </c>
      <c r="D20" s="67">
        <v>459758</v>
      </c>
      <c r="E20" s="68">
        <v>753380</v>
      </c>
      <c r="F20" s="67">
        <v>284255</v>
      </c>
      <c r="G20" s="68">
        <v>136237</v>
      </c>
      <c r="H20" s="67">
        <v>1496</v>
      </c>
      <c r="I20" s="68">
        <v>723928</v>
      </c>
      <c r="J20" s="15">
        <f>IFERROR(D20+F20+H20,"-")</f>
        <v>745509</v>
      </c>
      <c r="K20" s="16">
        <f>IFERROR(E20+G20+I20,"-")</f>
        <v>1613545</v>
      </c>
      <c r="O20" s="42">
        <f t="shared" si="1"/>
        <v>0.63864467828727289</v>
      </c>
      <c r="P20" s="48">
        <f t="shared" si="2"/>
        <v>-0.52072259063165116</v>
      </c>
      <c r="Q20" s="48">
        <f t="shared" si="3"/>
        <v>482.90909090909093</v>
      </c>
      <c r="R20" s="45">
        <f t="shared" si="4"/>
        <v>1.1643534819834502</v>
      </c>
    </row>
    <row r="21" spans="2:18" s="17" customFormat="1" ht="18" customHeight="1" x14ac:dyDescent="0.2">
      <c r="B21" s="309"/>
      <c r="C21" s="18" t="s">
        <v>49</v>
      </c>
      <c r="D21" s="19">
        <f t="shared" ref="D21:K21" si="6">IFERROR(D20/D17,"-")</f>
        <v>5.2311294416457065E-2</v>
      </c>
      <c r="E21" s="20">
        <f t="shared" si="6"/>
        <v>7.4373448221320457E-2</v>
      </c>
      <c r="F21" s="19">
        <f t="shared" si="6"/>
        <v>7.1910732586082021E-2</v>
      </c>
      <c r="G21" s="20">
        <f t="shared" si="6"/>
        <v>2.9973225030746113E-2</v>
      </c>
      <c r="H21" s="19">
        <f t="shared" si="6"/>
        <v>3.2701433507558819E-4</v>
      </c>
      <c r="I21" s="20">
        <f t="shared" si="6"/>
        <v>0.13737874266212588</v>
      </c>
      <c r="J21" s="19">
        <f t="shared" si="6"/>
        <v>4.3051954770937338E-2</v>
      </c>
      <c r="K21" s="20">
        <f t="shared" si="6"/>
        <v>8.0901515716391648E-2</v>
      </c>
      <c r="O21" s="42">
        <f t="shared" si="1"/>
        <v>0.42174742664984921</v>
      </c>
      <c r="P21" s="48">
        <f t="shared" si="2"/>
        <v>-0.58318843442644486</v>
      </c>
      <c r="Q21" s="48">
        <f t="shared" si="3"/>
        <v>419.10006267881579</v>
      </c>
      <c r="R21" s="45">
        <f t="shared" si="4"/>
        <v>0.87916010194745076</v>
      </c>
    </row>
    <row r="22" spans="2:18" s="10" customFormat="1" ht="18" customHeight="1" x14ac:dyDescent="0.2">
      <c r="B22" s="309"/>
      <c r="C22" s="14" t="s">
        <v>33</v>
      </c>
      <c r="D22" s="67">
        <v>873</v>
      </c>
      <c r="E22" s="68">
        <v>1028</v>
      </c>
      <c r="F22" s="67">
        <v>550</v>
      </c>
      <c r="G22" s="68">
        <v>475</v>
      </c>
      <c r="H22" s="67">
        <v>550</v>
      </c>
      <c r="I22" s="68">
        <v>501</v>
      </c>
      <c r="J22" s="15">
        <f>IFERROR(D22+F22+H22,"-")</f>
        <v>1973</v>
      </c>
      <c r="K22" s="16">
        <f>IFERROR(E22+G22+I22,"-")</f>
        <v>2004</v>
      </c>
      <c r="O22" s="42">
        <f t="shared" si="1"/>
        <v>0.17754868270332189</v>
      </c>
      <c r="P22" s="48">
        <f t="shared" si="2"/>
        <v>-0.13636363636363635</v>
      </c>
      <c r="Q22" s="48">
        <f t="shared" si="3"/>
        <v>-8.9090909090909096E-2</v>
      </c>
      <c r="R22" s="45">
        <f t="shared" si="4"/>
        <v>1.5712113532691332E-2</v>
      </c>
    </row>
    <row r="23" spans="2:18" s="10" customFormat="1" ht="18" customHeight="1" x14ac:dyDescent="0.2">
      <c r="B23" s="309"/>
      <c r="C23" s="14" t="s">
        <v>13</v>
      </c>
      <c r="D23" s="67">
        <v>4939</v>
      </c>
      <c r="E23" s="68">
        <v>4471</v>
      </c>
      <c r="F23" s="67">
        <v>1985</v>
      </c>
      <c r="G23" s="68">
        <v>1647</v>
      </c>
      <c r="H23" s="67">
        <v>2654</v>
      </c>
      <c r="I23" s="68">
        <v>2412</v>
      </c>
      <c r="J23" s="15">
        <f>IFERROR(D23+F23+H23,"-")</f>
        <v>9578</v>
      </c>
      <c r="K23" s="16">
        <f>IFERROR(E23+G23+I23,"-")</f>
        <v>8530</v>
      </c>
      <c r="O23" s="42">
        <f t="shared" si="1"/>
        <v>-9.4756023486535737E-2</v>
      </c>
      <c r="P23" s="48">
        <f t="shared" si="2"/>
        <v>-0.17027707808564232</v>
      </c>
      <c r="Q23" s="48">
        <f t="shared" si="3"/>
        <v>-9.1183119819140915E-2</v>
      </c>
      <c r="R23" s="45">
        <f t="shared" si="4"/>
        <v>-0.10941741490916684</v>
      </c>
    </row>
    <row r="24" spans="2:18" s="17" customFormat="1" ht="18" customHeight="1" x14ac:dyDescent="0.2">
      <c r="B24" s="309"/>
      <c r="C24" s="18" t="s">
        <v>34</v>
      </c>
      <c r="D24" s="19">
        <f>IFERROR(D22/D23,"-")</f>
        <v>0.17675642842680706</v>
      </c>
      <c r="E24" s="20">
        <f t="shared" ref="E24:K24" si="7">IFERROR(E22/E23,"-")</f>
        <v>0.22992619100872289</v>
      </c>
      <c r="F24" s="19">
        <f t="shared" si="7"/>
        <v>0.2770780856423174</v>
      </c>
      <c r="G24" s="20">
        <f t="shared" si="7"/>
        <v>0.28840315725561627</v>
      </c>
      <c r="H24" s="19">
        <f t="shared" si="7"/>
        <v>0.20723436322532027</v>
      </c>
      <c r="I24" s="20">
        <f t="shared" si="7"/>
        <v>0.20771144278606965</v>
      </c>
      <c r="J24" s="19">
        <f t="shared" si="7"/>
        <v>0.20599290039674253</v>
      </c>
      <c r="K24" s="20">
        <f t="shared" si="7"/>
        <v>0.23493552168815943</v>
      </c>
      <c r="O24" s="42">
        <f t="shared" si="1"/>
        <v>0.30080808406882276</v>
      </c>
      <c r="P24" s="48">
        <f t="shared" si="2"/>
        <v>4.087321300436049E-2</v>
      </c>
      <c r="Q24" s="48">
        <f t="shared" si="3"/>
        <v>2.3021257349615668E-3</v>
      </c>
      <c r="R24" s="45">
        <f t="shared" si="4"/>
        <v>0.14050300391748149</v>
      </c>
    </row>
    <row r="25" spans="2:18" s="10" customFormat="1" ht="18" customHeight="1" x14ac:dyDescent="0.2">
      <c r="B25" s="309"/>
      <c r="C25" s="14" t="s">
        <v>14</v>
      </c>
      <c r="D25" s="67">
        <v>2061</v>
      </c>
      <c r="E25" s="68">
        <v>2071</v>
      </c>
      <c r="F25" s="67">
        <v>735</v>
      </c>
      <c r="G25" s="68">
        <v>570</v>
      </c>
      <c r="H25" s="67">
        <v>969</v>
      </c>
      <c r="I25" s="68">
        <v>966</v>
      </c>
      <c r="J25" s="15">
        <f>IFERROR(D25+F25+H25,"-")</f>
        <v>3765</v>
      </c>
      <c r="K25" s="16">
        <f>IFERROR(E25+G25+I25,"-")</f>
        <v>3607</v>
      </c>
      <c r="O25" s="42">
        <f t="shared" si="1"/>
        <v>4.8520135856380394E-3</v>
      </c>
      <c r="P25" s="48">
        <f t="shared" si="2"/>
        <v>-0.22448979591836735</v>
      </c>
      <c r="Q25" s="48">
        <f t="shared" si="3"/>
        <v>-3.0959752321981426E-3</v>
      </c>
      <c r="R25" s="45">
        <f t="shared" si="4"/>
        <v>-4.1965471447543159E-2</v>
      </c>
    </row>
    <row r="26" spans="2:18" s="10" customFormat="1" ht="18" customHeight="1" x14ac:dyDescent="0.2">
      <c r="B26" s="309"/>
      <c r="C26" s="14" t="s">
        <v>15</v>
      </c>
      <c r="D26" s="67">
        <v>3955</v>
      </c>
      <c r="E26" s="68">
        <v>4351</v>
      </c>
      <c r="F26" s="67">
        <v>1618</v>
      </c>
      <c r="G26" s="68">
        <v>1341</v>
      </c>
      <c r="H26" s="67">
        <v>2022</v>
      </c>
      <c r="I26" s="68">
        <v>1911</v>
      </c>
      <c r="J26" s="15">
        <f>IFERROR(D26+F26+H26,"-")</f>
        <v>7595</v>
      </c>
      <c r="K26" s="16">
        <f>IFERROR(E26+G26+I26,"-")</f>
        <v>7603</v>
      </c>
      <c r="O26" s="42">
        <f t="shared" si="1"/>
        <v>0.10012642225031605</v>
      </c>
      <c r="P26" s="48">
        <f t="shared" si="2"/>
        <v>-0.17119901112484548</v>
      </c>
      <c r="Q26" s="48">
        <f t="shared" si="3"/>
        <v>-5.4896142433234422E-2</v>
      </c>
      <c r="R26" s="45">
        <f t="shared" si="4"/>
        <v>1.053324555628703E-3</v>
      </c>
    </row>
    <row r="27" spans="2:18" s="17" customFormat="1" ht="18" customHeight="1" x14ac:dyDescent="0.2">
      <c r="B27" s="309"/>
      <c r="C27" s="18" t="s">
        <v>8</v>
      </c>
      <c r="D27" s="19">
        <f>IFERROR(D25/D26,"-")</f>
        <v>0.52111251580278128</v>
      </c>
      <c r="E27" s="20">
        <f t="shared" ref="E27:K27" si="8">IFERROR(E25/E26,"-")</f>
        <v>0.4759825327510917</v>
      </c>
      <c r="F27" s="19">
        <f t="shared" si="8"/>
        <v>0.45426452410383189</v>
      </c>
      <c r="G27" s="20">
        <f t="shared" si="8"/>
        <v>0.42505592841163309</v>
      </c>
      <c r="H27" s="19">
        <f t="shared" si="8"/>
        <v>0.47922848664688428</v>
      </c>
      <c r="I27" s="20">
        <f t="shared" si="8"/>
        <v>0.50549450549450547</v>
      </c>
      <c r="J27" s="19">
        <f t="shared" si="8"/>
        <v>0.49572086899275841</v>
      </c>
      <c r="K27" s="20">
        <f t="shared" si="8"/>
        <v>0.47441799289754044</v>
      </c>
      <c r="O27" s="42">
        <f t="shared" si="1"/>
        <v>-8.6603145545576077E-2</v>
      </c>
      <c r="P27" s="48">
        <f t="shared" si="2"/>
        <v>-6.4298650108813152E-2</v>
      </c>
      <c r="Q27" s="48">
        <f t="shared" si="3"/>
        <v>5.4808968121661569E-2</v>
      </c>
      <c r="R27" s="45">
        <f t="shared" si="4"/>
        <v>-4.297353092780358E-2</v>
      </c>
    </row>
    <row r="28" spans="2:18" s="4" customFormat="1" ht="18" customHeight="1" x14ac:dyDescent="0.2">
      <c r="B28" s="309"/>
      <c r="C28" s="21" t="s">
        <v>19</v>
      </c>
      <c r="D28" s="22">
        <f t="shared" ref="D28:K28" si="9">IFERROR((D25*100*$M$7)/D16,"-")</f>
        <v>1.1495743479261227</v>
      </c>
      <c r="E28" s="23">
        <f t="shared" si="9"/>
        <v>1.043743398381803</v>
      </c>
      <c r="F28" s="22">
        <f t="shared" si="9"/>
        <v>0.95590586169711222</v>
      </c>
      <c r="G28" s="23">
        <f t="shared" si="9"/>
        <v>0.66747987313979018</v>
      </c>
      <c r="H28" s="22">
        <f t="shared" si="9"/>
        <v>1.0449035342325423</v>
      </c>
      <c r="I28" s="23">
        <f t="shared" si="9"/>
        <v>0.94642091727389632</v>
      </c>
      <c r="J28" s="22">
        <f t="shared" si="9"/>
        <v>1.0790748330515032</v>
      </c>
      <c r="K28" s="23">
        <f t="shared" si="9"/>
        <v>0.93473444160825114</v>
      </c>
      <c r="O28" s="42">
        <f t="shared" si="1"/>
        <v>-9.20609873865426E-2</v>
      </c>
      <c r="P28" s="48">
        <f t="shared" si="2"/>
        <v>-0.30173053656690779</v>
      </c>
      <c r="Q28" s="48">
        <f t="shared" si="3"/>
        <v>-9.4250439138364325E-2</v>
      </c>
      <c r="R28" s="45">
        <f t="shared" si="4"/>
        <v>-0.13376309688835347</v>
      </c>
    </row>
    <row r="29" spans="2:18" s="10" customFormat="1" ht="18" customHeight="1" x14ac:dyDescent="0.2">
      <c r="B29" s="309"/>
      <c r="C29" s="14" t="s">
        <v>16</v>
      </c>
      <c r="D29" s="67">
        <v>64456.35</v>
      </c>
      <c r="E29" s="68">
        <v>130669.44</v>
      </c>
      <c r="F29" s="67">
        <v>22243</v>
      </c>
      <c r="G29" s="68">
        <v>40004</v>
      </c>
      <c r="H29" s="67">
        <v>26048</v>
      </c>
      <c r="I29" s="68">
        <v>49320</v>
      </c>
      <c r="J29" s="15">
        <f>IFERROR(D29+F29+H29,"-")</f>
        <v>112747.35</v>
      </c>
      <c r="K29" s="16">
        <f>IFERROR(E29+G29+I29,"-")</f>
        <v>219993.44</v>
      </c>
      <c r="O29" s="42">
        <f t="shared" si="1"/>
        <v>1.0272547235454692</v>
      </c>
      <c r="P29" s="48">
        <f t="shared" si="2"/>
        <v>0.79849840399226724</v>
      </c>
      <c r="Q29" s="48">
        <f t="shared" si="3"/>
        <v>0.89342751842751844</v>
      </c>
      <c r="R29" s="45">
        <f t="shared" si="4"/>
        <v>0.95120719023551326</v>
      </c>
    </row>
    <row r="30" spans="2:18" s="10" customFormat="1" ht="18" customHeight="1" x14ac:dyDescent="0.2">
      <c r="B30" s="309"/>
      <c r="C30" s="14" t="s">
        <v>17</v>
      </c>
      <c r="D30" s="67">
        <v>1785</v>
      </c>
      <c r="E30" s="68">
        <v>2152</v>
      </c>
      <c r="F30" s="67">
        <v>731</v>
      </c>
      <c r="G30" s="68">
        <v>725</v>
      </c>
      <c r="H30" s="67">
        <v>781</v>
      </c>
      <c r="I30" s="68">
        <v>1010</v>
      </c>
      <c r="J30" s="15">
        <f>IFERROR(D30+F30+H30,"-")</f>
        <v>3297</v>
      </c>
      <c r="K30" s="16">
        <f>IFERROR(E30+G30+I30,"-")</f>
        <v>3887</v>
      </c>
      <c r="O30" s="42">
        <f t="shared" si="1"/>
        <v>0.20560224089635853</v>
      </c>
      <c r="P30" s="48">
        <f t="shared" si="2"/>
        <v>-8.2079343365253077E-3</v>
      </c>
      <c r="Q30" s="48">
        <f t="shared" si="3"/>
        <v>0.29321382842509602</v>
      </c>
      <c r="R30" s="45">
        <f t="shared" si="4"/>
        <v>0.17895056111616622</v>
      </c>
    </row>
    <row r="31" spans="2:18" s="24" customFormat="1" ht="18" customHeight="1" x14ac:dyDescent="0.2">
      <c r="B31" s="309"/>
      <c r="C31" s="25" t="s">
        <v>20</v>
      </c>
      <c r="D31" s="22">
        <f>IFERROR(D29/D30,"-")</f>
        <v>36.11</v>
      </c>
      <c r="E31" s="23">
        <f t="shared" ref="E31:K31" si="10">IFERROR(E29/E30,"-")</f>
        <v>60.72</v>
      </c>
      <c r="F31" s="22">
        <f t="shared" si="10"/>
        <v>30.428180574555405</v>
      </c>
      <c r="G31" s="23">
        <f t="shared" si="10"/>
        <v>55.177931034482761</v>
      </c>
      <c r="H31" s="22">
        <f t="shared" si="10"/>
        <v>33.352112676056336</v>
      </c>
      <c r="I31" s="23">
        <f t="shared" si="10"/>
        <v>48.831683168316829</v>
      </c>
      <c r="J31" s="22">
        <f t="shared" si="10"/>
        <v>34.196951774340313</v>
      </c>
      <c r="K31" s="23">
        <f t="shared" si="10"/>
        <v>56.597231798302033</v>
      </c>
      <c r="O31" s="42">
        <f t="shared" si="1"/>
        <v>0.68152866242038213</v>
      </c>
      <c r="P31" s="48">
        <f t="shared" si="2"/>
        <v>0.81338252871496186</v>
      </c>
      <c r="Q31" s="48">
        <f t="shared" si="3"/>
        <v>0.46412563553652664</v>
      </c>
      <c r="R31" s="45">
        <f t="shared" si="4"/>
        <v>0.65503733115680129</v>
      </c>
    </row>
    <row r="32" spans="2:18" s="24" customFormat="1" ht="18" customHeight="1" x14ac:dyDescent="0.2">
      <c r="B32" s="309"/>
      <c r="C32" s="26" t="s">
        <v>26</v>
      </c>
      <c r="D32" s="67">
        <v>83454</v>
      </c>
      <c r="E32" s="68">
        <v>130956</v>
      </c>
      <c r="F32" s="67">
        <v>28273</v>
      </c>
      <c r="G32" s="68">
        <v>41182</v>
      </c>
      <c r="H32" s="67">
        <v>32284</v>
      </c>
      <c r="I32" s="68">
        <v>56916</v>
      </c>
      <c r="J32" s="15">
        <f>IFERROR(D32+F32+H32,"-")</f>
        <v>144011</v>
      </c>
      <c r="K32" s="16">
        <f>IFERROR(E32+G32+I32,"-")</f>
        <v>229054</v>
      </c>
      <c r="O32" s="42">
        <f t="shared" si="1"/>
        <v>0.56919979869149473</v>
      </c>
      <c r="P32" s="48">
        <f t="shared" si="2"/>
        <v>0.45658402008983834</v>
      </c>
      <c r="Q32" s="48">
        <f t="shared" si="3"/>
        <v>0.76297856523355223</v>
      </c>
      <c r="R32" s="45">
        <f t="shared" si="4"/>
        <v>0.59053127886064261</v>
      </c>
    </row>
    <row r="33" spans="2:18" s="24" customFormat="1" ht="18" customHeight="1" x14ac:dyDescent="0.2">
      <c r="B33" s="309"/>
      <c r="C33" s="25" t="s">
        <v>30</v>
      </c>
      <c r="D33" s="22">
        <f t="shared" ref="D33:K33" si="11">IFERROR((D32*$M$7)/D16,"-")</f>
        <v>0.46548557802924134</v>
      </c>
      <c r="E33" s="23">
        <f t="shared" si="11"/>
        <v>0.65999256628917125</v>
      </c>
      <c r="F33" s="22">
        <f t="shared" si="11"/>
        <v>0.3677051214661558</v>
      </c>
      <c r="G33" s="23">
        <f t="shared" si="11"/>
        <v>0.48224835325689192</v>
      </c>
      <c r="H33" s="22">
        <f t="shared" si="11"/>
        <v>0.34812864498620633</v>
      </c>
      <c r="I33" s="23">
        <f t="shared" si="11"/>
        <v>0.55762415038883106</v>
      </c>
      <c r="J33" s="22">
        <f t="shared" si="11"/>
        <v>0.41274540712504654</v>
      </c>
      <c r="K33" s="23">
        <f t="shared" si="11"/>
        <v>0.59358098915479995</v>
      </c>
      <c r="O33" s="42">
        <f t="shared" si="1"/>
        <v>0.41785824833376722</v>
      </c>
      <c r="P33" s="48">
        <f t="shared" si="2"/>
        <v>0.311508393829317</v>
      </c>
      <c r="Q33" s="48">
        <f t="shared" si="3"/>
        <v>0.60177612046525342</v>
      </c>
      <c r="R33" s="45">
        <f t="shared" si="4"/>
        <v>0.43812863549313086</v>
      </c>
    </row>
    <row r="34" spans="2:18" s="10" customFormat="1" ht="18" customHeight="1" x14ac:dyDescent="0.2">
      <c r="B34" s="309"/>
      <c r="C34" s="14" t="s">
        <v>18</v>
      </c>
      <c r="D34" s="67">
        <v>585</v>
      </c>
      <c r="E34" s="68">
        <v>862</v>
      </c>
      <c r="F34" s="67">
        <v>159</v>
      </c>
      <c r="G34" s="68">
        <v>174</v>
      </c>
      <c r="H34" s="67">
        <v>245</v>
      </c>
      <c r="I34" s="68">
        <v>380</v>
      </c>
      <c r="J34" s="15">
        <f>IFERROR(D34+F34+H34,"-")</f>
        <v>989</v>
      </c>
      <c r="K34" s="16">
        <f>IFERROR(E34+G34+I34,"-")</f>
        <v>1416</v>
      </c>
      <c r="O34" s="42">
        <f t="shared" si="1"/>
        <v>0.47350427350427349</v>
      </c>
      <c r="P34" s="48">
        <f t="shared" si="2"/>
        <v>9.4339622641509441E-2</v>
      </c>
      <c r="Q34" s="48">
        <f t="shared" si="3"/>
        <v>0.55102040816326525</v>
      </c>
      <c r="R34" s="45">
        <f t="shared" si="4"/>
        <v>0.43174924165824063</v>
      </c>
    </row>
    <row r="35" spans="2:18" s="10" customFormat="1" ht="18" customHeight="1" x14ac:dyDescent="0.2">
      <c r="B35" s="309"/>
      <c r="C35" s="81" t="s">
        <v>69</v>
      </c>
      <c r="D35" s="83">
        <f>IFERROR((D34*100)/D25/$M$7,"-")</f>
        <v>11.826783114992722</v>
      </c>
      <c r="E35" s="82">
        <f t="shared" ref="E35:K35" si="12">IFERROR((E34*100)/E25/$M$7,"-")</f>
        <v>17.342668598100758</v>
      </c>
      <c r="F35" s="83">
        <f t="shared" si="12"/>
        <v>9.0136054421768712</v>
      </c>
      <c r="G35" s="82">
        <f t="shared" si="12"/>
        <v>12.719298245614036</v>
      </c>
      <c r="H35" s="83">
        <f t="shared" si="12"/>
        <v>10.534915720674235</v>
      </c>
      <c r="I35" s="82">
        <f t="shared" si="12"/>
        <v>16.390614216701174</v>
      </c>
      <c r="J35" s="22">
        <f t="shared" si="12"/>
        <v>10.945108455068615</v>
      </c>
      <c r="K35" s="23">
        <f t="shared" si="12"/>
        <v>16.357083448849462</v>
      </c>
      <c r="O35" s="42">
        <f t="shared" ref="O35" si="13">IFERROR((E35-D35)/D35,"-")</f>
        <v>0.46638933254095027</v>
      </c>
      <c r="P35" s="48">
        <f t="shared" ref="P35" si="14">IFERROR((G35-F35)/F35,"-")</f>
        <v>0.4111221449851043</v>
      </c>
      <c r="Q35" s="48">
        <f t="shared" ref="Q35" si="15">IFERROR((I35-H35)/H35,"-")</f>
        <v>0.55583724172898974</v>
      </c>
      <c r="R35" s="45">
        <f t="shared" ref="R35" si="16">IFERROR((K35-J35)/J35,"-")</f>
        <v>0.49446517738931983</v>
      </c>
    </row>
    <row r="36" spans="2:18" s="4" customFormat="1" ht="18" customHeight="1" x14ac:dyDescent="0.2">
      <c r="B36" s="309"/>
      <c r="C36" s="21" t="s">
        <v>45</v>
      </c>
      <c r="D36" s="22">
        <f t="shared" ref="D36:K36" si="17">IFERROR((D34*100)/D16,"-")</f>
        <v>0.13595766487481437</v>
      </c>
      <c r="E36" s="23">
        <f t="shared" si="17"/>
        <v>0.18101295859591063</v>
      </c>
      <c r="F36" s="22">
        <f t="shared" si="17"/>
        <v>8.6161582772018616E-2</v>
      </c>
      <c r="G36" s="23">
        <f t="shared" si="17"/>
        <v>8.4898755794096115E-2</v>
      </c>
      <c r="H36" s="22">
        <f t="shared" si="17"/>
        <v>0.11007970669374478</v>
      </c>
      <c r="I36" s="23">
        <f t="shared" si="17"/>
        <v>0.15512420141652888</v>
      </c>
      <c r="J36" s="22">
        <f t="shared" si="17"/>
        <v>0.11810591078883761</v>
      </c>
      <c r="K36" s="23">
        <f t="shared" si="17"/>
        <v>0.15289529263899868</v>
      </c>
      <c r="O36" s="42">
        <f t="shared" si="1"/>
        <v>0.33139208269413711</v>
      </c>
      <c r="P36" s="48">
        <f t="shared" si="2"/>
        <v>-1.4656496982697149E-2</v>
      </c>
      <c r="Q36" s="48">
        <f t="shared" si="3"/>
        <v>0.40919889846821084</v>
      </c>
      <c r="R36" s="45">
        <f t="shared" si="4"/>
        <v>0.29456088706992184</v>
      </c>
    </row>
    <row r="37" spans="2:18" s="10" customFormat="1" ht="18" customHeight="1" x14ac:dyDescent="0.2">
      <c r="B37" s="309"/>
      <c r="C37" s="14" t="s">
        <v>4</v>
      </c>
      <c r="D37" s="67">
        <v>426</v>
      </c>
      <c r="E37" s="68">
        <v>332</v>
      </c>
      <c r="F37" s="67">
        <v>175</v>
      </c>
      <c r="G37" s="68">
        <v>144</v>
      </c>
      <c r="H37" s="67">
        <v>177</v>
      </c>
      <c r="I37" s="68">
        <v>162</v>
      </c>
      <c r="J37" s="15">
        <f>IFERROR(D37+F37+H37,"-")</f>
        <v>778</v>
      </c>
      <c r="K37" s="16">
        <f>IFERROR(E37+G37+I37,"-")</f>
        <v>638</v>
      </c>
      <c r="O37" s="42">
        <f t="shared" si="1"/>
        <v>-0.22065727699530516</v>
      </c>
      <c r="P37" s="48">
        <f t="shared" si="2"/>
        <v>-0.17714285714285713</v>
      </c>
      <c r="Q37" s="48">
        <f t="shared" si="3"/>
        <v>-8.4745762711864403E-2</v>
      </c>
      <c r="R37" s="45">
        <f t="shared" si="4"/>
        <v>-0.17994858611825193</v>
      </c>
    </row>
    <row r="38" spans="2:18" s="10" customFormat="1" ht="18" customHeight="1" x14ac:dyDescent="0.2">
      <c r="B38" s="309"/>
      <c r="C38" s="14" t="s">
        <v>37</v>
      </c>
      <c r="D38" s="67">
        <v>498972.44</v>
      </c>
      <c r="E38" s="68">
        <v>408604.19000000006</v>
      </c>
      <c r="F38" s="67">
        <v>203161</v>
      </c>
      <c r="G38" s="68">
        <v>209480</v>
      </c>
      <c r="H38" s="67">
        <v>202048</v>
      </c>
      <c r="I38" s="68">
        <v>154833</v>
      </c>
      <c r="J38" s="15">
        <f>IFERROR(D38+F38+H38,"-")</f>
        <v>904181.44</v>
      </c>
      <c r="K38" s="16">
        <f>IFERROR(E38+G38+I38,"-")</f>
        <v>772917.19000000006</v>
      </c>
      <c r="O38" s="42">
        <f t="shared" si="1"/>
        <v>-0.1811087001117736</v>
      </c>
      <c r="P38" s="48">
        <f t="shared" si="2"/>
        <v>3.110341059553753E-2</v>
      </c>
      <c r="Q38" s="48">
        <f t="shared" si="3"/>
        <v>-0.2336820953436807</v>
      </c>
      <c r="R38" s="45">
        <f t="shared" si="4"/>
        <v>-0.14517467865741626</v>
      </c>
    </row>
    <row r="39" spans="2:18" s="17" customFormat="1" ht="18" customHeight="1" x14ac:dyDescent="0.2">
      <c r="B39" s="309"/>
      <c r="C39" s="18" t="s">
        <v>50</v>
      </c>
      <c r="D39" s="19">
        <f t="shared" ref="D39:K39" si="18">IFERROR(D38/D17,"-")</f>
        <v>5.6773115888223716E-2</v>
      </c>
      <c r="E39" s="20">
        <f t="shared" si="18"/>
        <v>4.0337283400116261E-2</v>
      </c>
      <c r="F39" s="19">
        <f t="shared" si="18"/>
        <v>5.1395600228390036E-2</v>
      </c>
      <c r="G39" s="20">
        <f t="shared" si="18"/>
        <v>4.60872683591146E-2</v>
      </c>
      <c r="H39" s="19">
        <f>IFERROR(H38/H17,"-")</f>
        <v>4.4166171372561791E-2</v>
      </c>
      <c r="I39" s="20">
        <f>IFERROR(I38/I17,"-")</f>
        <v>2.9382428725791703E-2</v>
      </c>
      <c r="J39" s="19">
        <f t="shared" si="18"/>
        <v>5.2215034908500088E-2</v>
      </c>
      <c r="K39" s="20">
        <f t="shared" si="18"/>
        <v>3.8753286827608945E-2</v>
      </c>
      <c r="O39" s="42">
        <f t="shared" si="1"/>
        <v>-0.28950027193269995</v>
      </c>
      <c r="P39" s="48">
        <f t="shared" si="2"/>
        <v>-0.10328378004510988</v>
      </c>
      <c r="Q39" s="48">
        <f t="shared" si="3"/>
        <v>-0.33473000233736538</v>
      </c>
      <c r="R39" s="45">
        <f t="shared" si="4"/>
        <v>-0.25781363747972341</v>
      </c>
    </row>
    <row r="40" spans="2:18" s="10" customFormat="1" ht="18" customHeight="1" x14ac:dyDescent="0.2">
      <c r="B40" s="309"/>
      <c r="C40" s="14" t="s">
        <v>5</v>
      </c>
      <c r="D40" s="67">
        <v>25</v>
      </c>
      <c r="E40" s="68">
        <v>13</v>
      </c>
      <c r="F40" s="67">
        <v>8</v>
      </c>
      <c r="G40" s="68">
        <v>9</v>
      </c>
      <c r="H40" s="67">
        <v>5</v>
      </c>
      <c r="I40" s="68">
        <v>10</v>
      </c>
      <c r="J40" s="15">
        <f>IFERROR(D40+F40+H40,"-")</f>
        <v>38</v>
      </c>
      <c r="K40" s="16">
        <f>IFERROR(E40+G40+I40,"-")</f>
        <v>32</v>
      </c>
      <c r="O40" s="42">
        <f t="shared" si="1"/>
        <v>-0.48</v>
      </c>
      <c r="P40" s="48">
        <f t="shared" si="2"/>
        <v>0.125</v>
      </c>
      <c r="Q40" s="48">
        <f t="shared" si="3"/>
        <v>1</v>
      </c>
      <c r="R40" s="45">
        <f t="shared" si="4"/>
        <v>-0.15789473684210525</v>
      </c>
    </row>
    <row r="41" spans="2:18" s="10" customFormat="1" ht="18" customHeight="1" x14ac:dyDescent="0.2">
      <c r="B41" s="309"/>
      <c r="C41" s="14" t="s">
        <v>38</v>
      </c>
      <c r="D41" s="67">
        <v>160663.54</v>
      </c>
      <c r="E41" s="68">
        <v>211492.04</v>
      </c>
      <c r="F41" s="67">
        <v>46069</v>
      </c>
      <c r="G41" s="68">
        <v>72558</v>
      </c>
      <c r="H41" s="67">
        <v>57083</v>
      </c>
      <c r="I41" s="68">
        <v>70186</v>
      </c>
      <c r="J41" s="15">
        <f>IFERROR(D41+F41+H41,"-")</f>
        <v>263815.54000000004</v>
      </c>
      <c r="K41" s="16">
        <f>IFERROR(E41+G41+I41,"-")</f>
        <v>354236.04000000004</v>
      </c>
      <c r="O41" s="42">
        <f t="shared" si="1"/>
        <v>0.3163661151746065</v>
      </c>
      <c r="P41" s="48">
        <f t="shared" si="2"/>
        <v>0.57498534806485924</v>
      </c>
      <c r="Q41" s="48">
        <f t="shared" si="3"/>
        <v>0.2295429462361824</v>
      </c>
      <c r="R41" s="45">
        <f t="shared" si="4"/>
        <v>0.34274137149009487</v>
      </c>
    </row>
    <row r="42" spans="2:18" s="17" customFormat="1" ht="18" customHeight="1" x14ac:dyDescent="0.2">
      <c r="B42" s="309"/>
      <c r="C42" s="18" t="s">
        <v>51</v>
      </c>
      <c r="D42" s="19">
        <f t="shared" ref="D42:K42" si="19">IFERROR(D41/D17,"-")</f>
        <v>1.8280307776983168E-2</v>
      </c>
      <c r="E42" s="20">
        <f t="shared" si="19"/>
        <v>2.0878430919537862E-2</v>
      </c>
      <c r="F42" s="19">
        <f t="shared" si="19"/>
        <v>1.165451984840447E-2</v>
      </c>
      <c r="G42" s="20">
        <f t="shared" si="19"/>
        <v>1.5963337872830996E-2</v>
      </c>
      <c r="H42" s="19">
        <f>IFERROR(H41/H17,"-")</f>
        <v>1.2477913963315374E-2</v>
      </c>
      <c r="I42" s="20">
        <f>IFERROR(I41/I17,"-")</f>
        <v>1.3319093103850061E-2</v>
      </c>
      <c r="J42" s="19">
        <f t="shared" si="19"/>
        <v>1.5234926333485461E-2</v>
      </c>
      <c r="K42" s="20">
        <f t="shared" si="19"/>
        <v>1.776103706892113E-2</v>
      </c>
      <c r="O42" s="42">
        <f t="shared" si="1"/>
        <v>0.14212688179276747</v>
      </c>
      <c r="P42" s="48">
        <f t="shared" si="2"/>
        <v>0.36971218724351074</v>
      </c>
      <c r="Q42" s="48">
        <f t="shared" si="3"/>
        <v>6.7413442904617246E-2</v>
      </c>
      <c r="R42" s="45">
        <f t="shared" si="4"/>
        <v>0.16581049885902158</v>
      </c>
    </row>
    <row r="43" spans="2:18" s="17" customFormat="1" ht="18" customHeight="1" x14ac:dyDescent="0.2">
      <c r="B43" s="309"/>
      <c r="C43" s="27" t="s">
        <v>55</v>
      </c>
      <c r="D43" s="79">
        <v>269874.05</v>
      </c>
      <c r="E43" s="78">
        <v>683193.95</v>
      </c>
      <c r="F43" s="79">
        <v>69167</v>
      </c>
      <c r="G43" s="78">
        <v>231437</v>
      </c>
      <c r="H43" s="79">
        <v>17466</v>
      </c>
      <c r="I43" s="78">
        <v>344040</v>
      </c>
      <c r="J43" s="15">
        <f>IFERROR(D43+F43+H43,"-")</f>
        <v>356507.05</v>
      </c>
      <c r="K43" s="16">
        <f>IFERROR(E43+G43+I43,"-")</f>
        <v>1258670.95</v>
      </c>
      <c r="O43" s="42">
        <f t="shared" si="1"/>
        <v>1.5315288743026607</v>
      </c>
      <c r="P43" s="48">
        <f t="shared" si="2"/>
        <v>2.3460609828386367</v>
      </c>
      <c r="Q43" s="48">
        <f t="shared" si="3"/>
        <v>18.69769838543456</v>
      </c>
      <c r="R43" s="45">
        <f t="shared" si="4"/>
        <v>2.5305639818343</v>
      </c>
    </row>
    <row r="44" spans="2:18" s="10" customFormat="1" ht="18" customHeight="1" thickBot="1" x14ac:dyDescent="0.25">
      <c r="B44" s="310"/>
      <c r="C44" s="28" t="s">
        <v>56</v>
      </c>
      <c r="D44" s="29">
        <f>IFERROR(D43/D17,"-")</f>
        <v>3.0706286535333055E-2</v>
      </c>
      <c r="E44" s="30">
        <f t="shared" ref="E44:K44" si="20">IFERROR(E43/E17,"-")</f>
        <v>6.7444702361948008E-2</v>
      </c>
      <c r="F44" s="29">
        <f t="shared" si="20"/>
        <v>1.7497843980867653E-2</v>
      </c>
      <c r="G44" s="30">
        <f t="shared" si="20"/>
        <v>5.0917983230992961E-2</v>
      </c>
      <c r="H44" s="29">
        <f>IFERROR(H43/H17,"-")</f>
        <v>3.8179360805014862E-3</v>
      </c>
      <c r="I44" s="30">
        <f>IFERROR(I43/I17,"-")</f>
        <v>6.5287960440095966E-2</v>
      </c>
      <c r="J44" s="29">
        <f t="shared" si="20"/>
        <v>2.0587713082095987E-2</v>
      </c>
      <c r="K44" s="30">
        <f t="shared" si="20"/>
        <v>6.3108489470817736E-2</v>
      </c>
      <c r="O44" s="42">
        <f t="shared" si="1"/>
        <v>1.1964460692549344</v>
      </c>
      <c r="P44" s="48">
        <f t="shared" si="2"/>
        <v>1.9099575517227882</v>
      </c>
      <c r="Q44" s="48">
        <f t="shared" si="3"/>
        <v>16.100328309194843</v>
      </c>
      <c r="R44" s="45">
        <f t="shared" si="4"/>
        <v>2.0653472398398516</v>
      </c>
    </row>
    <row r="45" spans="2:18" s="10" customFormat="1" ht="18" customHeight="1" x14ac:dyDescent="0.2">
      <c r="B45" s="308" t="s">
        <v>10</v>
      </c>
      <c r="C45" s="31" t="s">
        <v>6</v>
      </c>
      <c r="D45" s="65">
        <v>436605</v>
      </c>
      <c r="E45" s="66">
        <v>479351</v>
      </c>
      <c r="F45" s="65">
        <v>186071</v>
      </c>
      <c r="G45" s="66">
        <v>203901</v>
      </c>
      <c r="H45" s="65">
        <v>223421</v>
      </c>
      <c r="I45" s="66">
        <v>245092</v>
      </c>
      <c r="J45" s="32">
        <f t="shared" ref="J45:K47" si="21">IFERROR(D45+F45+H45,"-")</f>
        <v>846097</v>
      </c>
      <c r="K45" s="33">
        <f t="shared" si="21"/>
        <v>928344</v>
      </c>
      <c r="O45" s="42">
        <f t="shared" si="1"/>
        <v>9.7905429392700499E-2</v>
      </c>
      <c r="P45" s="48">
        <f t="shared" si="2"/>
        <v>9.5823637213751742E-2</v>
      </c>
      <c r="Q45" s="48">
        <f t="shared" si="3"/>
        <v>9.6996253709364835E-2</v>
      </c>
      <c r="R45" s="45">
        <f t="shared" si="4"/>
        <v>9.7207530578645243E-2</v>
      </c>
    </row>
    <row r="46" spans="2:18" s="10" customFormat="1" ht="18" customHeight="1" x14ac:dyDescent="0.2">
      <c r="B46" s="309"/>
      <c r="C46" s="14" t="s">
        <v>39</v>
      </c>
      <c r="D46" s="67">
        <v>14260603.92</v>
      </c>
      <c r="E46" s="68">
        <v>16241877.91</v>
      </c>
      <c r="F46" s="67">
        <v>6344755</v>
      </c>
      <c r="G46" s="68">
        <v>7244072</v>
      </c>
      <c r="H46" s="67">
        <v>7285086</v>
      </c>
      <c r="I46" s="68">
        <v>8334577</v>
      </c>
      <c r="J46" s="15">
        <f t="shared" si="21"/>
        <v>27890444.920000002</v>
      </c>
      <c r="K46" s="16">
        <f t="shared" si="21"/>
        <v>31820526.91</v>
      </c>
      <c r="O46" s="42">
        <f t="shared" si="1"/>
        <v>0.13893338606938888</v>
      </c>
      <c r="P46" s="48">
        <f t="shared" si="2"/>
        <v>0.14174180090484187</v>
      </c>
      <c r="Q46" s="48">
        <f t="shared" si="3"/>
        <v>0.14406020738808026</v>
      </c>
      <c r="R46" s="45">
        <f t="shared" si="4"/>
        <v>0.14091141253834102</v>
      </c>
    </row>
    <row r="47" spans="2:18" s="10" customFormat="1" ht="18" customHeight="1" x14ac:dyDescent="0.2">
      <c r="B47" s="309"/>
      <c r="C47" s="14" t="s">
        <v>40</v>
      </c>
      <c r="D47" s="67">
        <v>24973097.68</v>
      </c>
      <c r="E47" s="68">
        <v>28321251.629999999</v>
      </c>
      <c r="F47" s="67">
        <v>10079613</v>
      </c>
      <c r="G47" s="68">
        <v>12281394</v>
      </c>
      <c r="H47" s="67">
        <v>10651030</v>
      </c>
      <c r="I47" s="68">
        <v>12780639</v>
      </c>
      <c r="J47" s="15">
        <f t="shared" si="21"/>
        <v>45703740.68</v>
      </c>
      <c r="K47" s="16">
        <f t="shared" si="21"/>
        <v>53383284.629999995</v>
      </c>
      <c r="O47" s="42">
        <f t="shared" si="1"/>
        <v>0.13407043022465762</v>
      </c>
      <c r="P47" s="48">
        <f t="shared" si="2"/>
        <v>0.21843904126081032</v>
      </c>
      <c r="Q47" s="48">
        <f t="shared" si="3"/>
        <v>0.19994394908285865</v>
      </c>
      <c r="R47" s="45">
        <f t="shared" si="4"/>
        <v>0.16802878354682621</v>
      </c>
    </row>
    <row r="48" spans="2:18" s="17" customFormat="1" ht="18" customHeight="1" x14ac:dyDescent="0.2">
      <c r="B48" s="309"/>
      <c r="C48" s="18" t="s">
        <v>52</v>
      </c>
      <c r="D48" s="19">
        <f>IFERROR(D47/D46,"-")</f>
        <v>1.75119495780793</v>
      </c>
      <c r="E48" s="20">
        <f t="shared" ref="E48:K48" si="22">IFERROR(E47/E46,"-")</f>
        <v>1.7437178007946248</v>
      </c>
      <c r="F48" s="19">
        <f t="shared" si="22"/>
        <v>1.5886528321424547</v>
      </c>
      <c r="G48" s="20">
        <f t="shared" si="22"/>
        <v>1.6953716086753416</v>
      </c>
      <c r="H48" s="19">
        <f t="shared" si="22"/>
        <v>1.4620321572044586</v>
      </c>
      <c r="I48" s="20">
        <f t="shared" si="22"/>
        <v>1.5334478282461126</v>
      </c>
      <c r="J48" s="19">
        <f t="shared" si="22"/>
        <v>1.6386881174213981</v>
      </c>
      <c r="K48" s="20">
        <f t="shared" si="22"/>
        <v>1.6776367274177231</v>
      </c>
      <c r="O48" s="42">
        <f t="shared" si="1"/>
        <v>-4.2697456271029834E-3</v>
      </c>
      <c r="P48" s="48">
        <f t="shared" si="2"/>
        <v>6.7175643648314409E-2</v>
      </c>
      <c r="Q48" s="48">
        <f t="shared" si="3"/>
        <v>4.8846853805327668E-2</v>
      </c>
      <c r="R48" s="45">
        <f t="shared" si="4"/>
        <v>2.3768165267234395E-2</v>
      </c>
    </row>
    <row r="49" spans="2:18" s="10" customFormat="1" ht="18" customHeight="1" x14ac:dyDescent="0.2">
      <c r="B49" s="309"/>
      <c r="C49" s="14" t="s">
        <v>21</v>
      </c>
      <c r="D49" s="67">
        <v>3633</v>
      </c>
      <c r="E49" s="270">
        <v>2862</v>
      </c>
      <c r="F49" s="67">
        <v>1962</v>
      </c>
      <c r="G49" s="68">
        <v>1369</v>
      </c>
      <c r="H49" s="67">
        <v>2746</v>
      </c>
      <c r="I49" s="68">
        <v>1647</v>
      </c>
      <c r="J49" s="15">
        <f>IFERROR(D49+F49+H49,"-")</f>
        <v>8341</v>
      </c>
      <c r="K49" s="16">
        <f>IFERROR(E49+G49+I49,"-")</f>
        <v>5878</v>
      </c>
      <c r="O49" s="42">
        <f t="shared" si="1"/>
        <v>-0.21222130470685385</v>
      </c>
      <c r="P49" s="48">
        <f t="shared" si="2"/>
        <v>-0.30224260958205912</v>
      </c>
      <c r="Q49" s="48">
        <f t="shared" si="3"/>
        <v>-0.40021849963583395</v>
      </c>
      <c r="R49" s="45">
        <f t="shared" si="4"/>
        <v>-0.29528833473204652</v>
      </c>
    </row>
    <row r="50" spans="2:18" s="10" customFormat="1" ht="18" customHeight="1" x14ac:dyDescent="0.2">
      <c r="B50" s="309"/>
      <c r="C50" s="14" t="s">
        <v>22</v>
      </c>
      <c r="D50" s="67">
        <v>20183</v>
      </c>
      <c r="E50" s="270">
        <f>26934-7014</f>
        <v>19920</v>
      </c>
      <c r="F50" s="67">
        <v>7976</v>
      </c>
      <c r="G50" s="68">
        <v>7822</v>
      </c>
      <c r="H50" s="67">
        <v>8735</v>
      </c>
      <c r="I50" s="68">
        <v>8651</v>
      </c>
      <c r="J50" s="15">
        <f>IFERROR(D50+F50+H50,"-")</f>
        <v>36894</v>
      </c>
      <c r="K50" s="16">
        <f>IFERROR(E50+G50+I50,"-")</f>
        <v>36393</v>
      </c>
      <c r="O50" s="42">
        <f t="shared" si="1"/>
        <v>-1.3030768468513105E-2</v>
      </c>
      <c r="P50" s="48">
        <f t="shared" si="2"/>
        <v>-1.9307923771313941E-2</v>
      </c>
      <c r="Q50" s="48">
        <f t="shared" si="3"/>
        <v>-9.6164854035489418E-3</v>
      </c>
      <c r="R50" s="45">
        <f t="shared" si="4"/>
        <v>-1.3579443812001952E-2</v>
      </c>
    </row>
    <row r="51" spans="2:18" s="10" customFormat="1" ht="18" customHeight="1" x14ac:dyDescent="0.2">
      <c r="B51" s="309"/>
      <c r="C51" s="81" t="s">
        <v>70</v>
      </c>
      <c r="D51" s="83">
        <f>IFERROR((D50*$M$7*100)/D45,"-")</f>
        <v>11.094513347304773</v>
      </c>
      <c r="E51" s="82">
        <f t="shared" ref="E51:K51" si="23">IFERROR((E50*$M$7*100)/E45,"-")</f>
        <v>9.9734849828205228</v>
      </c>
      <c r="F51" s="83">
        <f t="shared" si="23"/>
        <v>10.287685883345603</v>
      </c>
      <c r="G51" s="82">
        <f t="shared" si="23"/>
        <v>9.2068209572292439</v>
      </c>
      <c r="H51" s="83">
        <f t="shared" si="23"/>
        <v>9.3831824224222427</v>
      </c>
      <c r="I51" s="82">
        <f t="shared" si="23"/>
        <v>8.4712679320418438</v>
      </c>
      <c r="J51" s="22">
        <f t="shared" si="23"/>
        <v>10.465183070026249</v>
      </c>
      <c r="K51" s="23">
        <f t="shared" si="23"/>
        <v>9.408495126806443</v>
      </c>
      <c r="O51" s="42">
        <f t="shared" ref="O51" si="24">IFERROR((E51-D51)/D51,"-")</f>
        <v>-0.10104349144404653</v>
      </c>
      <c r="P51" s="48">
        <f t="shared" ref="P51" si="25">IFERROR((G51-F51)/F51,"-")</f>
        <v>-0.10506395105493409</v>
      </c>
      <c r="Q51" s="48">
        <f t="shared" ref="Q51" si="26">IFERROR((I51-H51)/H51,"-")</f>
        <v>-9.7186055788627698E-2</v>
      </c>
      <c r="R51" s="45">
        <f t="shared" ref="R51" si="27">IFERROR((K51-J51)/J51,"-")</f>
        <v>-0.10097175903652453</v>
      </c>
    </row>
    <row r="52" spans="2:18" s="10" customFormat="1" ht="18" customHeight="1" x14ac:dyDescent="0.2">
      <c r="B52" s="309"/>
      <c r="C52" s="14" t="s">
        <v>23</v>
      </c>
      <c r="D52" s="67">
        <v>9452</v>
      </c>
      <c r="E52" s="68">
        <v>8845</v>
      </c>
      <c r="F52" s="67">
        <v>5595</v>
      </c>
      <c r="G52" s="68">
        <v>3079</v>
      </c>
      <c r="H52" s="67">
        <v>4735</v>
      </c>
      <c r="I52" s="68" t="s">
        <v>100</v>
      </c>
      <c r="J52" s="15">
        <f>IFERROR(D52+F52+H52,"-")</f>
        <v>19782</v>
      </c>
      <c r="K52" s="16" t="str">
        <f>IFERROR(E52+G52+I52,"-")</f>
        <v>-</v>
      </c>
      <c r="O52" s="42">
        <f t="shared" si="1"/>
        <v>-6.4219212865002109E-2</v>
      </c>
      <c r="P52" s="48">
        <f t="shared" si="2"/>
        <v>-0.44968722073279715</v>
      </c>
      <c r="Q52" s="48" t="str">
        <f t="shared" si="3"/>
        <v>-</v>
      </c>
      <c r="R52" s="45" t="str">
        <f t="shared" si="4"/>
        <v>-</v>
      </c>
    </row>
    <row r="53" spans="2:18" s="17" customFormat="1" ht="18" customHeight="1" x14ac:dyDescent="0.2">
      <c r="B53" s="309"/>
      <c r="C53" s="18" t="s">
        <v>29</v>
      </c>
      <c r="D53" s="19">
        <f>IFERROR(D49/D50,"-")</f>
        <v>0.18000297279889016</v>
      </c>
      <c r="E53" s="20">
        <f>IFERROR(E49/E50,"-")</f>
        <v>0.14367469879518072</v>
      </c>
      <c r="F53" s="19">
        <f t="shared" ref="F53:K53" si="28">IFERROR(F49/F50,"-")</f>
        <v>0.24598796389167502</v>
      </c>
      <c r="G53" s="20">
        <f t="shared" si="28"/>
        <v>0.17501917668115571</v>
      </c>
      <c r="H53" s="19">
        <f t="shared" si="28"/>
        <v>0.3143674871207785</v>
      </c>
      <c r="I53" s="20">
        <f t="shared" si="28"/>
        <v>0.19038261472662121</v>
      </c>
      <c r="J53" s="19">
        <f t="shared" si="28"/>
        <v>0.22608012142895864</v>
      </c>
      <c r="K53" s="20">
        <f t="shared" si="28"/>
        <v>0.16151457697908939</v>
      </c>
      <c r="O53" s="42">
        <f t="shared" si="1"/>
        <v>-0.20182041129008194</v>
      </c>
      <c r="P53" s="48">
        <f t="shared" si="2"/>
        <v>-0.28850512068863504</v>
      </c>
      <c r="Q53" s="48">
        <f t="shared" si="3"/>
        <v>-0.39439470515767072</v>
      </c>
      <c r="R53" s="45">
        <f t="shared" si="4"/>
        <v>-0.28558700358871553</v>
      </c>
    </row>
    <row r="54" spans="2:18" s="17" customFormat="1" ht="18" customHeight="1" x14ac:dyDescent="0.2">
      <c r="B54" s="309"/>
      <c r="C54" s="18" t="s">
        <v>28</v>
      </c>
      <c r="D54" s="19">
        <f>IFERROR(D49/D52,"-")</f>
        <v>0.38436309775708843</v>
      </c>
      <c r="E54" s="20">
        <f>IFERROR(E49/E52,"-")</f>
        <v>0.32357263990955343</v>
      </c>
      <c r="F54" s="19">
        <f t="shared" ref="F54:K54" si="29">IFERROR(F49/F52,"-")</f>
        <v>0.35067024128686325</v>
      </c>
      <c r="G54" s="20">
        <f t="shared" si="29"/>
        <v>0.44462487820721014</v>
      </c>
      <c r="H54" s="19">
        <f t="shared" si="29"/>
        <v>0.5799366420274551</v>
      </c>
      <c r="I54" s="20" t="str">
        <f t="shared" si="29"/>
        <v>-</v>
      </c>
      <c r="J54" s="19">
        <f t="shared" si="29"/>
        <v>0.42164594075422102</v>
      </c>
      <c r="K54" s="20" t="str">
        <f t="shared" si="29"/>
        <v>-</v>
      </c>
      <c r="O54" s="42">
        <f t="shared" si="1"/>
        <v>-0.1581589340971376</v>
      </c>
      <c r="P54" s="48">
        <f t="shared" si="2"/>
        <v>0.26792874289976598</v>
      </c>
      <c r="Q54" s="48" t="str">
        <f t="shared" si="3"/>
        <v>-</v>
      </c>
      <c r="R54" s="45" t="str">
        <f t="shared" si="4"/>
        <v>-</v>
      </c>
    </row>
    <row r="55" spans="2:18" s="10" customFormat="1" ht="18" customHeight="1" x14ac:dyDescent="0.2">
      <c r="B55" s="309"/>
      <c r="C55" s="14" t="s">
        <v>24</v>
      </c>
      <c r="D55" s="67">
        <v>2030580.42</v>
      </c>
      <c r="E55" s="270">
        <f>1808579.12-154530</f>
        <v>1654049.12</v>
      </c>
      <c r="F55" s="67">
        <v>841295</v>
      </c>
      <c r="G55" s="68">
        <v>701716</v>
      </c>
      <c r="H55" s="67">
        <v>896519</v>
      </c>
      <c r="I55" s="68">
        <v>752393</v>
      </c>
      <c r="J55" s="15">
        <f>IFERROR(D55+F55+H55,"-")</f>
        <v>3768394.42</v>
      </c>
      <c r="K55" s="16">
        <f>IFERROR(E55+G55+I55,"-")</f>
        <v>3108158.12</v>
      </c>
      <c r="O55" s="42">
        <f t="shared" si="1"/>
        <v>-0.18543038054114588</v>
      </c>
      <c r="P55" s="48">
        <f t="shared" si="2"/>
        <v>-0.1659096987382547</v>
      </c>
      <c r="Q55" s="48">
        <f t="shared" si="3"/>
        <v>-0.16076179088229028</v>
      </c>
      <c r="R55" s="45">
        <f t="shared" si="4"/>
        <v>-0.17520360833142296</v>
      </c>
    </row>
    <row r="56" spans="2:18" s="10" customFormat="1" ht="18" customHeight="1" x14ac:dyDescent="0.2">
      <c r="B56" s="309"/>
      <c r="C56" s="14" t="s">
        <v>25</v>
      </c>
      <c r="D56" s="67">
        <v>23683</v>
      </c>
      <c r="E56" s="270">
        <f>26632-5915</f>
        <v>20717</v>
      </c>
      <c r="F56" s="67">
        <v>9361</v>
      </c>
      <c r="G56" s="68">
        <v>8325</v>
      </c>
      <c r="H56" s="67">
        <v>10769</v>
      </c>
      <c r="I56" s="68">
        <v>9518</v>
      </c>
      <c r="J56" s="15">
        <f>IFERROR(D56+F56+H56,"-")</f>
        <v>43813</v>
      </c>
      <c r="K56" s="16">
        <f>IFERROR(E56+G56+I56,"-")</f>
        <v>38560</v>
      </c>
      <c r="O56" s="42">
        <f t="shared" si="1"/>
        <v>-0.12523751213950934</v>
      </c>
      <c r="P56" s="48">
        <f t="shared" si="2"/>
        <v>-0.11067193675889328</v>
      </c>
      <c r="Q56" s="48">
        <f t="shared" si="3"/>
        <v>-0.11616677500232148</v>
      </c>
      <c r="R56" s="45">
        <f t="shared" si="4"/>
        <v>-0.11989592130189669</v>
      </c>
    </row>
    <row r="57" spans="2:18" s="24" customFormat="1" ht="18" customHeight="1" x14ac:dyDescent="0.2">
      <c r="B57" s="309"/>
      <c r="C57" s="25" t="s">
        <v>3</v>
      </c>
      <c r="D57" s="22">
        <f>IFERROR(D55/D56,"-")</f>
        <v>85.74</v>
      </c>
      <c r="E57" s="23">
        <f t="shared" ref="E57:K57" si="30">IFERROR(E55/E56,"-")</f>
        <v>79.840185355022456</v>
      </c>
      <c r="F57" s="22">
        <f t="shared" si="30"/>
        <v>89.872342698429648</v>
      </c>
      <c r="G57" s="23">
        <f t="shared" si="30"/>
        <v>84.290210210210205</v>
      </c>
      <c r="H57" s="22">
        <f t="shared" si="30"/>
        <v>83.24997678521683</v>
      </c>
      <c r="I57" s="23">
        <f t="shared" si="30"/>
        <v>79.049485185963434</v>
      </c>
      <c r="J57" s="22">
        <f t="shared" si="30"/>
        <v>86.01087394152421</v>
      </c>
      <c r="K57" s="23">
        <f t="shared" si="30"/>
        <v>80.605760373443985</v>
      </c>
      <c r="O57" s="42">
        <f t="shared" si="1"/>
        <v>-6.881052769976137E-2</v>
      </c>
      <c r="P57" s="48">
        <f t="shared" si="2"/>
        <v>-6.2111794581237507E-2</v>
      </c>
      <c r="Q57" s="48">
        <f t="shared" si="3"/>
        <v>-5.0456369616661584E-2</v>
      </c>
      <c r="R57" s="45">
        <f t="shared" si="4"/>
        <v>-6.2842211924912808E-2</v>
      </c>
    </row>
    <row r="58" spans="2:18" s="10" customFormat="1" ht="18" customHeight="1" x14ac:dyDescent="0.2">
      <c r="B58" s="309"/>
      <c r="C58" s="14" t="s">
        <v>26</v>
      </c>
      <c r="D58" s="67">
        <v>1950988</v>
      </c>
      <c r="E58" s="270">
        <f>2756705-208547</f>
        <v>2548158</v>
      </c>
      <c r="F58" s="67">
        <v>866899</v>
      </c>
      <c r="G58" s="68">
        <v>1082866</v>
      </c>
      <c r="H58" s="67">
        <v>883154</v>
      </c>
      <c r="I58" s="68">
        <v>1153164</v>
      </c>
      <c r="J58" s="15">
        <f>IFERROR(D58+F58+H58,"-")</f>
        <v>3701041</v>
      </c>
      <c r="K58" s="16">
        <f>IFERROR(E58+G58+I58,"-")</f>
        <v>4784188</v>
      </c>
      <c r="O58" s="42">
        <f t="shared" si="1"/>
        <v>0.30608594209702983</v>
      </c>
      <c r="P58" s="48">
        <f t="shared" si="2"/>
        <v>0.24912590740097751</v>
      </c>
      <c r="Q58" s="48">
        <f t="shared" si="3"/>
        <v>0.30573376783664002</v>
      </c>
      <c r="R58" s="45">
        <f t="shared" si="4"/>
        <v>0.29266009212002786</v>
      </c>
    </row>
    <row r="59" spans="2:18" s="4" customFormat="1" ht="18" customHeight="1" x14ac:dyDescent="0.2">
      <c r="B59" s="309"/>
      <c r="C59" s="21" t="s">
        <v>30</v>
      </c>
      <c r="D59" s="22">
        <f t="shared" ref="D59:K59" si="31">IFERROR((D58*$M$7)/D45,"-")</f>
        <v>10.724502009825816</v>
      </c>
      <c r="E59" s="23">
        <f t="shared" si="31"/>
        <v>12.758039933159626</v>
      </c>
      <c r="F59" s="22">
        <f t="shared" si="31"/>
        <v>11.18152533172821</v>
      </c>
      <c r="G59" s="23">
        <f t="shared" si="31"/>
        <v>12.74578545470596</v>
      </c>
      <c r="H59" s="22">
        <f>IFERROR((H58*$M$7)/H45,"-")</f>
        <v>9.4868861924349108</v>
      </c>
      <c r="I59" s="23">
        <f>IFERROR((I58*$M$7)/I45,"-")</f>
        <v>11.292060124361464</v>
      </c>
      <c r="J59" s="22">
        <f t="shared" si="31"/>
        <v>10.498203397482795</v>
      </c>
      <c r="K59" s="23">
        <f t="shared" si="31"/>
        <v>12.368315193505854</v>
      </c>
      <c r="O59" s="42">
        <f t="shared" si="1"/>
        <v>0.18961606995557254</v>
      </c>
      <c r="P59" s="48">
        <f t="shared" si="2"/>
        <v>0.13989684560648208</v>
      </c>
      <c r="Q59" s="48">
        <f t="shared" si="3"/>
        <v>0.19028097262999172</v>
      </c>
      <c r="R59" s="45">
        <f t="shared" si="4"/>
        <v>0.17813636535861596</v>
      </c>
    </row>
    <row r="60" spans="2:18" s="10" customFormat="1" ht="18" customHeight="1" x14ac:dyDescent="0.2">
      <c r="B60" s="309"/>
      <c r="C60" s="14" t="s">
        <v>27</v>
      </c>
      <c r="D60" s="67">
        <v>12925</v>
      </c>
      <c r="E60" s="270">
        <f>18129-1295</f>
        <v>16834</v>
      </c>
      <c r="F60" s="67">
        <v>5501</v>
      </c>
      <c r="G60" s="68">
        <v>7068</v>
      </c>
      <c r="H60" s="67">
        <v>5980</v>
      </c>
      <c r="I60" s="68">
        <v>7679</v>
      </c>
      <c r="J60" s="15">
        <f>IFERROR(D60+F60+H60,"-")</f>
        <v>24406</v>
      </c>
      <c r="K60" s="16">
        <f>IFERROR(E60+G60+I60,"-")</f>
        <v>31581</v>
      </c>
      <c r="O60" s="42">
        <f t="shared" si="1"/>
        <v>0.30243713733075434</v>
      </c>
      <c r="P60" s="48">
        <f t="shared" si="2"/>
        <v>0.28485729867296855</v>
      </c>
      <c r="Q60" s="48">
        <f t="shared" si="3"/>
        <v>0.28411371237458194</v>
      </c>
      <c r="R60" s="45">
        <f t="shared" si="4"/>
        <v>0.29398508563468001</v>
      </c>
    </row>
    <row r="61" spans="2:18" s="4" customFormat="1" ht="18" customHeight="1" thickBot="1" x14ac:dyDescent="0.25">
      <c r="B61" s="310"/>
      <c r="C61" s="34" t="s">
        <v>31</v>
      </c>
      <c r="D61" s="35">
        <f t="shared" ref="D61:K61" si="32">IFERROR((D60*100)/D45,"-")</f>
        <v>2.9603417276485611</v>
      </c>
      <c r="E61" s="36">
        <f t="shared" si="32"/>
        <v>3.5118316223393715</v>
      </c>
      <c r="F61" s="35">
        <f t="shared" si="32"/>
        <v>2.95639836406533</v>
      </c>
      <c r="G61" s="36">
        <f t="shared" si="32"/>
        <v>3.4663881001074053</v>
      </c>
      <c r="H61" s="35">
        <f t="shared" si="32"/>
        <v>2.6765612901204454</v>
      </c>
      <c r="I61" s="36">
        <f t="shared" si="32"/>
        <v>3.1331091998106833</v>
      </c>
      <c r="J61" s="35">
        <f t="shared" si="32"/>
        <v>2.8845392431364254</v>
      </c>
      <c r="K61" s="36">
        <f t="shared" si="32"/>
        <v>3.4018639642201598</v>
      </c>
      <c r="O61" s="42">
        <f t="shared" si="1"/>
        <v>0.18629264639959867</v>
      </c>
      <c r="P61" s="48">
        <f t="shared" si="2"/>
        <v>0.17250372691344301</v>
      </c>
      <c r="Q61" s="48">
        <f t="shared" si="3"/>
        <v>0.17057255941622512</v>
      </c>
      <c r="R61" s="45">
        <f t="shared" si="4"/>
        <v>0.17934397055428353</v>
      </c>
    </row>
    <row r="62" spans="2:18" ht="18" customHeight="1" x14ac:dyDescent="0.25">
      <c r="B62" s="305" t="s">
        <v>90</v>
      </c>
      <c r="C62" s="94" t="s">
        <v>84</v>
      </c>
      <c r="D62" s="65">
        <v>0</v>
      </c>
      <c r="E62" s="66">
        <v>7212</v>
      </c>
      <c r="F62" s="65">
        <v>0</v>
      </c>
      <c r="G62" s="66">
        <v>2115</v>
      </c>
      <c r="H62" s="65">
        <v>0</v>
      </c>
      <c r="I62" s="66">
        <v>3137</v>
      </c>
      <c r="J62" s="86">
        <f t="shared" ref="J62:K64" si="33">IFERROR(D62+F62+H62,"-")</f>
        <v>0</v>
      </c>
      <c r="K62" s="87">
        <f t="shared" si="33"/>
        <v>12464</v>
      </c>
      <c r="O62" s="42" t="str">
        <f t="shared" si="1"/>
        <v>-</v>
      </c>
      <c r="P62" s="48" t="str">
        <f t="shared" si="2"/>
        <v>-</v>
      </c>
      <c r="Q62" s="48" t="str">
        <f t="shared" si="3"/>
        <v>-</v>
      </c>
      <c r="R62" s="45" t="str">
        <f t="shared" si="4"/>
        <v>-</v>
      </c>
    </row>
    <row r="63" spans="2:18" ht="18" customHeight="1" x14ac:dyDescent="0.25">
      <c r="B63" s="306"/>
      <c r="C63" s="95" t="s">
        <v>85</v>
      </c>
      <c r="D63" s="67">
        <v>0</v>
      </c>
      <c r="E63" s="68">
        <v>154580</v>
      </c>
      <c r="F63" s="67">
        <v>0</v>
      </c>
      <c r="G63" s="68">
        <v>45169</v>
      </c>
      <c r="H63" s="67">
        <v>0</v>
      </c>
      <c r="I63" s="68">
        <v>66260</v>
      </c>
      <c r="J63" s="88">
        <f t="shared" si="33"/>
        <v>0</v>
      </c>
      <c r="K63" s="89">
        <f t="shared" si="33"/>
        <v>266009</v>
      </c>
      <c r="O63" s="42" t="str">
        <f t="shared" si="1"/>
        <v>-</v>
      </c>
      <c r="P63" s="48" t="str">
        <f t="shared" si="2"/>
        <v>-</v>
      </c>
      <c r="Q63" s="48" t="str">
        <f t="shared" si="3"/>
        <v>-</v>
      </c>
      <c r="R63" s="45" t="str">
        <f t="shared" si="4"/>
        <v>-</v>
      </c>
    </row>
    <row r="64" spans="2:18" ht="18" customHeight="1" x14ac:dyDescent="0.25">
      <c r="B64" s="306"/>
      <c r="C64" s="95" t="s">
        <v>86</v>
      </c>
      <c r="D64" s="67">
        <v>0</v>
      </c>
      <c r="E64" s="68">
        <v>5917</v>
      </c>
      <c r="F64" s="67">
        <v>0</v>
      </c>
      <c r="G64" s="68">
        <v>1732</v>
      </c>
      <c r="H64" s="67">
        <v>0</v>
      </c>
      <c r="I64" s="68">
        <v>2603</v>
      </c>
      <c r="J64" s="88">
        <f t="shared" si="33"/>
        <v>0</v>
      </c>
      <c r="K64" s="89">
        <f t="shared" si="33"/>
        <v>10252</v>
      </c>
      <c r="O64" s="42" t="str">
        <f t="shared" si="1"/>
        <v>-</v>
      </c>
      <c r="P64" s="48" t="str">
        <f t="shared" si="2"/>
        <v>-</v>
      </c>
      <c r="Q64" s="48" t="str">
        <f t="shared" si="3"/>
        <v>-</v>
      </c>
      <c r="R64" s="45" t="str">
        <f t="shared" si="4"/>
        <v>-</v>
      </c>
    </row>
    <row r="65" spans="2:18" ht="18" customHeight="1" x14ac:dyDescent="0.25">
      <c r="B65" s="306"/>
      <c r="C65" s="96" t="s">
        <v>20</v>
      </c>
      <c r="D65" s="164" t="str">
        <f t="shared" ref="D65:K65" si="34">IFERROR(D63/D64,"-")</f>
        <v>-</v>
      </c>
      <c r="E65" s="165">
        <f t="shared" si="34"/>
        <v>26.124725367584926</v>
      </c>
      <c r="F65" s="164" t="str">
        <f t="shared" si="34"/>
        <v>-</v>
      </c>
      <c r="G65" s="165">
        <f t="shared" si="34"/>
        <v>26.079099307159353</v>
      </c>
      <c r="H65" s="164" t="str">
        <f t="shared" si="34"/>
        <v>-</v>
      </c>
      <c r="I65" s="165">
        <f t="shared" si="34"/>
        <v>25.455243949289283</v>
      </c>
      <c r="J65" s="164" t="str">
        <f t="shared" si="34"/>
        <v>-</v>
      </c>
      <c r="K65" s="165">
        <f t="shared" si="34"/>
        <v>25.947034724931722</v>
      </c>
      <c r="O65" s="42" t="str">
        <f t="shared" si="1"/>
        <v>-</v>
      </c>
      <c r="P65" s="48" t="str">
        <f t="shared" si="2"/>
        <v>-</v>
      </c>
      <c r="Q65" s="48" t="str">
        <f t="shared" si="3"/>
        <v>-</v>
      </c>
      <c r="R65" s="45" t="str">
        <f t="shared" si="4"/>
        <v>-</v>
      </c>
    </row>
    <row r="66" spans="2:18" ht="18" customHeight="1" x14ac:dyDescent="0.25">
      <c r="B66" s="306"/>
      <c r="C66" s="97" t="s">
        <v>91</v>
      </c>
      <c r="D66" s="84">
        <v>0</v>
      </c>
      <c r="E66" s="85">
        <v>1294</v>
      </c>
      <c r="F66" s="84">
        <v>0</v>
      </c>
      <c r="G66" s="85">
        <v>425</v>
      </c>
      <c r="H66" s="84">
        <v>0</v>
      </c>
      <c r="I66" s="85">
        <v>534</v>
      </c>
      <c r="J66" s="90">
        <f>IFERROR(D66+F66+H66,"-")</f>
        <v>0</v>
      </c>
      <c r="K66" s="91">
        <f>IFERROR(E66+G66+I66,"-")</f>
        <v>2253</v>
      </c>
      <c r="O66" s="42" t="str">
        <f t="shared" si="1"/>
        <v>-</v>
      </c>
      <c r="P66" s="48" t="str">
        <f t="shared" si="2"/>
        <v>-</v>
      </c>
      <c r="Q66" s="48" t="str">
        <f t="shared" si="3"/>
        <v>-</v>
      </c>
      <c r="R66" s="45" t="str">
        <f t="shared" si="4"/>
        <v>-</v>
      </c>
    </row>
    <row r="67" spans="2:18" ht="18" customHeight="1" x14ac:dyDescent="0.25">
      <c r="B67" s="306"/>
      <c r="C67" s="98" t="s">
        <v>87</v>
      </c>
      <c r="D67" s="164">
        <f>IFERROR((D62*100)/D16,"-")</f>
        <v>0</v>
      </c>
      <c r="E67" s="165">
        <f>IFERROR((E62*100)/E16,"-")</f>
        <v>1.5144610874636977</v>
      </c>
      <c r="F67" s="164">
        <f t="shared" ref="F67:K67" si="35">IFERROR((F62*100)/F16,"-")</f>
        <v>0</v>
      </c>
      <c r="G67" s="165">
        <f t="shared" si="35"/>
        <v>1.0319590143937545</v>
      </c>
      <c r="H67" s="164">
        <f t="shared" si="35"/>
        <v>0</v>
      </c>
      <c r="I67" s="165">
        <f t="shared" si="35"/>
        <v>1.2805911048517136</v>
      </c>
      <c r="J67" s="164">
        <f t="shared" si="35"/>
        <v>0</v>
      </c>
      <c r="K67" s="165">
        <f t="shared" si="35"/>
        <v>1.3458241013082481</v>
      </c>
      <c r="O67" s="42" t="str">
        <f t="shared" si="1"/>
        <v>-</v>
      </c>
      <c r="P67" s="48" t="str">
        <f t="shared" si="2"/>
        <v>-</v>
      </c>
      <c r="Q67" s="48" t="str">
        <f t="shared" si="3"/>
        <v>-</v>
      </c>
      <c r="R67" s="45" t="str">
        <f t="shared" si="4"/>
        <v>-</v>
      </c>
    </row>
    <row r="68" spans="2:18" ht="18" customHeight="1" x14ac:dyDescent="0.25">
      <c r="B68" s="306"/>
      <c r="C68" s="99" t="s">
        <v>89</v>
      </c>
      <c r="D68" s="69">
        <v>0</v>
      </c>
      <c r="E68" s="70">
        <v>0</v>
      </c>
      <c r="F68" s="69">
        <v>0</v>
      </c>
      <c r="G68" s="70">
        <v>0</v>
      </c>
      <c r="H68" s="69">
        <v>0</v>
      </c>
      <c r="I68" s="70">
        <v>0</v>
      </c>
      <c r="J68" s="92">
        <f>IFERROR(D68+F68+H68,"-")</f>
        <v>0</v>
      </c>
      <c r="K68" s="93">
        <f>IFERROR(E68+G68+I68,"-")</f>
        <v>0</v>
      </c>
      <c r="O68" s="42" t="str">
        <f t="shared" si="1"/>
        <v>-</v>
      </c>
      <c r="P68" s="48" t="str">
        <f t="shared" si="2"/>
        <v>-</v>
      </c>
      <c r="Q68" s="48" t="str">
        <f t="shared" si="3"/>
        <v>-</v>
      </c>
      <c r="R68" s="45" t="str">
        <f t="shared" si="4"/>
        <v>-</v>
      </c>
    </row>
    <row r="69" spans="2:18" ht="18" customHeight="1" thickBot="1" x14ac:dyDescent="0.3">
      <c r="B69" s="307"/>
      <c r="C69" s="100" t="s">
        <v>88</v>
      </c>
      <c r="D69" s="167">
        <f>IFERROR(D68/D17,"-")</f>
        <v>0</v>
      </c>
      <c r="E69" s="168">
        <f t="shared" ref="E69:K69" si="36">IFERROR(E68/E17,"-")</f>
        <v>0</v>
      </c>
      <c r="F69" s="167">
        <f t="shared" si="36"/>
        <v>0</v>
      </c>
      <c r="G69" s="168">
        <f t="shared" si="36"/>
        <v>0</v>
      </c>
      <c r="H69" s="167">
        <f t="shared" si="36"/>
        <v>0</v>
      </c>
      <c r="I69" s="168">
        <f t="shared" si="36"/>
        <v>0</v>
      </c>
      <c r="J69" s="167">
        <f t="shared" si="36"/>
        <v>0</v>
      </c>
      <c r="K69" s="168">
        <f t="shared" si="36"/>
        <v>0</v>
      </c>
      <c r="O69" s="43" t="str">
        <f t="shared" si="1"/>
        <v>-</v>
      </c>
      <c r="P69" s="49" t="str">
        <f t="shared" si="2"/>
        <v>-</v>
      </c>
      <c r="Q69" s="49" t="str">
        <f t="shared" si="3"/>
        <v>-</v>
      </c>
      <c r="R69" s="46" t="str">
        <f t="shared" si="4"/>
        <v>-</v>
      </c>
    </row>
    <row r="71" spans="2:18" x14ac:dyDescent="0.25">
      <c r="C71" s="9" t="s">
        <v>43</v>
      </c>
    </row>
  </sheetData>
  <sheetProtection password="A490" sheet="1" objects="1" scenarios="1"/>
  <mergeCells count="11">
    <mergeCell ref="B62:B69"/>
    <mergeCell ref="B16:B44"/>
    <mergeCell ref="B45:B61"/>
    <mergeCell ref="H5:I5"/>
    <mergeCell ref="J5:K5"/>
    <mergeCell ref="H7:I7"/>
    <mergeCell ref="J7:K7"/>
    <mergeCell ref="D9:E14"/>
    <mergeCell ref="F9:G14"/>
    <mergeCell ref="H9:I14"/>
    <mergeCell ref="J9:K14"/>
  </mergeCells>
  <pageMargins left="0.24" right="0.24" top="0.3" bottom="0.3" header="0.31496062992125984" footer="0.31496062992125984"/>
  <pageSetup paperSize="9" scale="64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B1:U88"/>
  <sheetViews>
    <sheetView topLeftCell="A4" zoomScaleNormal="100" workbookViewId="0">
      <pane xSplit="2" ySplit="12" topLeftCell="E16" activePane="bottomRight" state="frozen"/>
      <selection activeCell="C16" sqref="C16"/>
      <selection pane="topRight" activeCell="C16" sqref="C16"/>
      <selection pane="bottomLeft" activeCell="C16" sqref="C16"/>
      <selection pane="bottomRight" activeCell="K16" sqref="K16"/>
    </sheetView>
  </sheetViews>
  <sheetFormatPr baseColWidth="10" defaultColWidth="11.42578125" defaultRowHeight="15" x14ac:dyDescent="0.25"/>
  <cols>
    <col min="1" max="1" width="1.42578125" style="108" customWidth="1"/>
    <col min="2" max="2" width="12" style="107" customWidth="1"/>
    <col min="3" max="3" width="47.28515625" style="108" bestFit="1" customWidth="1"/>
    <col min="4" max="4" width="12.28515625" style="108" bestFit="1" customWidth="1"/>
    <col min="5" max="5" width="12.140625" style="108" customWidth="1"/>
    <col min="6" max="9" width="11.42578125" style="108"/>
    <col min="10" max="11" width="13.140625" style="108" customWidth="1"/>
    <col min="12" max="12" width="8.42578125" style="108" customWidth="1"/>
    <col min="13" max="13" width="6.5703125" style="108" customWidth="1"/>
    <col min="14" max="14" width="8" style="108" customWidth="1"/>
    <col min="15" max="18" width="8.7109375" style="108" customWidth="1"/>
    <col min="19" max="19" width="11.42578125" style="108"/>
    <col min="20" max="20" width="13.140625" style="108" customWidth="1"/>
    <col min="21" max="21" width="13.28515625" style="108" bestFit="1" customWidth="1"/>
    <col min="22" max="16384" width="11.42578125" style="108"/>
  </cols>
  <sheetData>
    <row r="1" spans="2:18" ht="9.75" customHeight="1" x14ac:dyDescent="0.25"/>
    <row r="2" spans="2:18" s="113" customFormat="1" ht="48" customHeight="1" thickBot="1" x14ac:dyDescent="0.3">
      <c r="B2" s="109" t="s">
        <v>63</v>
      </c>
      <c r="C2" s="110"/>
      <c r="D2" s="111"/>
      <c r="E2" s="112" t="s">
        <v>64</v>
      </c>
      <c r="F2" s="110"/>
      <c r="G2" s="110"/>
      <c r="H2" s="110"/>
      <c r="I2" s="110"/>
      <c r="J2" s="110"/>
      <c r="K2" s="110"/>
    </row>
    <row r="3" spans="2:18" ht="9.1999999999999993" customHeight="1" thickTop="1" x14ac:dyDescent="0.25">
      <c r="Q3" s="172"/>
      <c r="R3" s="114"/>
    </row>
    <row r="4" spans="2:18" s="114" customFormat="1" ht="21.75" customHeight="1" x14ac:dyDescent="0.2">
      <c r="C4" s="115"/>
      <c r="Q4" s="172"/>
    </row>
    <row r="5" spans="2:18" s="114" customFormat="1" ht="28.5" x14ac:dyDescent="0.45">
      <c r="B5" s="116" t="s">
        <v>68</v>
      </c>
      <c r="C5" s="115"/>
      <c r="H5" s="313" t="s">
        <v>12</v>
      </c>
      <c r="I5" s="313"/>
      <c r="J5" s="312" t="str">
        <f>'Hoja de Trabajo RG'!J5:K5</f>
        <v>Mayo</v>
      </c>
      <c r="K5" s="312"/>
      <c r="Q5" s="172"/>
    </row>
    <row r="6" spans="2:18" s="114" customFormat="1" ht="5.25" customHeight="1" thickBot="1" x14ac:dyDescent="0.25">
      <c r="B6" s="115"/>
      <c r="C6" s="115"/>
      <c r="H6" s="117"/>
      <c r="I6" s="117"/>
      <c r="J6" s="118"/>
      <c r="K6" s="118"/>
    </row>
    <row r="7" spans="2:18" s="114" customFormat="1" ht="19.5" thickBot="1" x14ac:dyDescent="0.25">
      <c r="B7" s="115"/>
      <c r="C7" s="115"/>
      <c r="H7" s="313" t="s">
        <v>32</v>
      </c>
      <c r="I7" s="313"/>
      <c r="J7" s="312" t="str">
        <f>'Hoja de Trabajo RG'!J7:K7</f>
        <v>Febrero</v>
      </c>
      <c r="K7" s="312"/>
      <c r="M7" s="173">
        <f>'Hoja de Trabajo RG'!M7</f>
        <v>2.4</v>
      </c>
    </row>
    <row r="8" spans="2:18" ht="14.25" customHeight="1" thickBot="1" x14ac:dyDescent="0.4">
      <c r="B8" s="119"/>
    </row>
    <row r="9" spans="2:18" x14ac:dyDescent="0.25">
      <c r="D9" s="314"/>
      <c r="E9" s="315"/>
      <c r="F9" s="320"/>
      <c r="G9" s="321"/>
      <c r="H9" s="326"/>
      <c r="I9" s="327"/>
      <c r="J9" s="332"/>
      <c r="K9" s="333"/>
    </row>
    <row r="10" spans="2:18" x14ac:dyDescent="0.25">
      <c r="D10" s="316"/>
      <c r="E10" s="317"/>
      <c r="F10" s="322"/>
      <c r="G10" s="323"/>
      <c r="H10" s="328"/>
      <c r="I10" s="329"/>
      <c r="J10" s="334"/>
      <c r="K10" s="335"/>
    </row>
    <row r="11" spans="2:18" x14ac:dyDescent="0.25">
      <c r="D11" s="316"/>
      <c r="E11" s="317"/>
      <c r="F11" s="322"/>
      <c r="G11" s="323"/>
      <c r="H11" s="328"/>
      <c r="I11" s="329"/>
      <c r="J11" s="334"/>
      <c r="K11" s="335"/>
    </row>
    <row r="12" spans="2:18" x14ac:dyDescent="0.25">
      <c r="D12" s="316"/>
      <c r="E12" s="317"/>
      <c r="F12" s="322"/>
      <c r="G12" s="323"/>
      <c r="H12" s="328"/>
      <c r="I12" s="329"/>
      <c r="J12" s="334"/>
      <c r="K12" s="335"/>
    </row>
    <row r="13" spans="2:18" x14ac:dyDescent="0.25">
      <c r="D13" s="316"/>
      <c r="E13" s="317"/>
      <c r="F13" s="322"/>
      <c r="G13" s="323"/>
      <c r="H13" s="328"/>
      <c r="I13" s="329"/>
      <c r="J13" s="334"/>
      <c r="K13" s="335"/>
    </row>
    <row r="14" spans="2:18" ht="15.75" thickBot="1" x14ac:dyDescent="0.3">
      <c r="D14" s="318"/>
      <c r="E14" s="319"/>
      <c r="F14" s="324"/>
      <c r="G14" s="325"/>
      <c r="H14" s="330"/>
      <c r="I14" s="331"/>
      <c r="J14" s="336"/>
      <c r="K14" s="337"/>
    </row>
    <row r="15" spans="2:18" s="126" customFormat="1" ht="28.7" customHeight="1" thickBot="1" x14ac:dyDescent="0.3">
      <c r="B15" s="120"/>
      <c r="C15" s="121" t="s">
        <v>0</v>
      </c>
      <c r="D15" s="122">
        <v>2019</v>
      </c>
      <c r="E15" s="174">
        <v>2020</v>
      </c>
      <c r="F15" s="124">
        <v>2019</v>
      </c>
      <c r="G15" s="175">
        <v>2020</v>
      </c>
      <c r="H15" s="124">
        <v>2019</v>
      </c>
      <c r="I15" s="175">
        <v>2020</v>
      </c>
      <c r="J15" s="122">
        <v>2019</v>
      </c>
      <c r="K15" s="175">
        <v>2020</v>
      </c>
      <c r="O15" s="176" t="s">
        <v>44</v>
      </c>
      <c r="P15" s="177" t="s">
        <v>44</v>
      </c>
      <c r="Q15" s="177" t="s">
        <v>44</v>
      </c>
      <c r="R15" s="178" t="s">
        <v>44</v>
      </c>
    </row>
    <row r="16" spans="2:18" s="182" customFormat="1" ht="21" customHeight="1" thickTop="1" thickBot="1" x14ac:dyDescent="0.3">
      <c r="B16" s="179"/>
      <c r="C16" s="180" t="s">
        <v>57</v>
      </c>
      <c r="D16" s="181">
        <f>IFERROR(('Hoja de Trabajo RG'!D16+'Hoja de Trabajo RETA'!D45)/'Hoja de Trabajo TOTAL'!$D$88,"-")</f>
        <v>0.13844096797705077</v>
      </c>
      <c r="E16" s="129">
        <f>IFERROR(('Hoja de Trabajo RG'!E16+'Hoja de Trabajo RETA'!E45)/'Hoja de Trabajo TOTAL'!$E$88,"-")</f>
        <v>0.14724838472977081</v>
      </c>
      <c r="F16" s="181">
        <f>IFERROR(('Hoja de Trabajo RG'!F16+'Hoja de Trabajo RETA'!F45)/'Hoja de Trabajo TOTAL'!$D$88,"-")</f>
        <v>7.4029760533116842E-2</v>
      </c>
      <c r="G16" s="129">
        <f>IFERROR(('Hoja de Trabajo RG'!G16+'Hoja de Trabajo RETA'!G45)/'Hoja de Trabajo TOTAL'!$E$88,"-")</f>
        <v>7.6382687976431024E-2</v>
      </c>
      <c r="H16" s="181">
        <f>IFERROR(('Hoja de Trabajo RG'!H16+'Hoja de Trabajo RETA'!H45)/'Hoja de Trabajo TOTAL'!$D$88,"-")</f>
        <v>7.3294603829800395E-2</v>
      </c>
      <c r="I16" s="129">
        <f>IFERROR(('Hoja de Trabajo RG'!I16+'Hoja de Trabajo RETA'!I45)/'Hoja de Trabajo TOTAL'!$E$88,"-")</f>
        <v>7.6746610864366779E-2</v>
      </c>
      <c r="J16" s="181">
        <f>IFERROR(('Hoja de Trabajo RG'!J16+'Hoja de Trabajo RETA'!J45)/'Hoja de Trabajo TOTAL'!$D$88,"-")</f>
        <v>0.28576533233996804</v>
      </c>
      <c r="K16" s="129">
        <f>IFERROR(('Hoja de Trabajo RG'!K16+'Hoja de Trabajo RETA'!K45)/'Hoja de Trabajo TOTAL'!$E$88,"-")</f>
        <v>0.30037768357056865</v>
      </c>
      <c r="O16" s="183">
        <f t="shared" ref="O16" si="0">IFERROR((E16-D16)/D16,"-")</f>
        <v>6.3618572460285266E-2</v>
      </c>
      <c r="P16" s="184">
        <f t="shared" ref="P16" si="1">IFERROR((G16-F16)/F16,"-")</f>
        <v>3.1783534437634868E-2</v>
      </c>
      <c r="Q16" s="184">
        <f t="shared" ref="Q16" si="2">IFERROR((I16-H16)/H16,"-")</f>
        <v>4.7097696886149953E-2</v>
      </c>
      <c r="R16" s="185">
        <f t="shared" ref="R16" si="3">IFERROR((K16-J16)/J16,"-")</f>
        <v>5.1134093526840618E-2</v>
      </c>
    </row>
    <row r="17" spans="2:18" s="189" customFormat="1" ht="18" customHeight="1" thickTop="1" x14ac:dyDescent="0.2">
      <c r="B17" s="338" t="s">
        <v>9</v>
      </c>
      <c r="C17" s="186" t="s">
        <v>2</v>
      </c>
      <c r="D17" s="187">
        <f>'Hoja de Trabajo RG'!D16+'Hoja de Trabajo RETA'!D16</f>
        <v>2685261</v>
      </c>
      <c r="E17" s="188">
        <f>'Hoja de Trabajo RG'!E16+'Hoja de Trabajo RETA'!E16</f>
        <v>2729218</v>
      </c>
      <c r="F17" s="187">
        <f>'Hoja de Trabajo RG'!F16+'Hoja de Trabajo RETA'!F16</f>
        <v>1437761</v>
      </c>
      <c r="G17" s="188">
        <f>'Hoja de Trabajo RG'!G16+'Hoja de Trabajo RETA'!G16</f>
        <v>1418416</v>
      </c>
      <c r="H17" s="187">
        <f>'Hoja de Trabajo RG'!H16+'Hoja de Trabajo RETA'!H16</f>
        <v>1424147</v>
      </c>
      <c r="I17" s="188">
        <f>'Hoja de Trabajo RG'!I16+'Hoja de Trabajo RETA'!I16</f>
        <v>1423993</v>
      </c>
      <c r="J17" s="187">
        <f>IFERROR(D17+F17+H17,"-")</f>
        <v>5547169</v>
      </c>
      <c r="K17" s="188">
        <f>IFERROR(E17+G17+I17,"-")</f>
        <v>5571627</v>
      </c>
      <c r="O17" s="183">
        <f>IFERROR((E17-D17)/D17,"-")</f>
        <v>1.6369730912563062E-2</v>
      </c>
      <c r="P17" s="184">
        <f>IFERROR((G17-F17)/F17,"-")</f>
        <v>-1.3454948353724993E-2</v>
      </c>
      <c r="Q17" s="184">
        <f>IFERROR((I17-H17)/H17,"-")</f>
        <v>-1.0813490461307716E-4</v>
      </c>
      <c r="R17" s="185">
        <f>IFERROR((K17-J17)/J17,"-")</f>
        <v>4.4090958829630031E-3</v>
      </c>
    </row>
    <row r="18" spans="2:18" s="189" customFormat="1" ht="18" customHeight="1" x14ac:dyDescent="0.2">
      <c r="B18" s="339"/>
      <c r="C18" s="95" t="s">
        <v>35</v>
      </c>
      <c r="D18" s="88">
        <f>'Hoja de Trabajo RG'!D17+'Hoja de Trabajo RETA'!D17</f>
        <v>207096853.78999999</v>
      </c>
      <c r="E18" s="89">
        <f>'Hoja de Trabajo RG'!E17+'Hoja de Trabajo RETA'!E17</f>
        <v>227518338.80000001</v>
      </c>
      <c r="F18" s="88">
        <f>'Hoja de Trabajo RG'!F17+'Hoja de Trabajo RETA'!F17</f>
        <v>109724111</v>
      </c>
      <c r="G18" s="89">
        <f>'Hoja de Trabajo RG'!G17+'Hoja de Trabajo RETA'!G17</f>
        <v>120181408</v>
      </c>
      <c r="H18" s="88">
        <f>'Hoja de Trabajo RG'!H17+'Hoja de Trabajo RETA'!H17</f>
        <v>102150683</v>
      </c>
      <c r="I18" s="89">
        <f>'Hoja de Trabajo RG'!I17+'Hoja de Trabajo RETA'!I17</f>
        <v>110520863</v>
      </c>
      <c r="J18" s="88">
        <f t="shared" ref="J18:K19" si="4">IFERROR(D18+F18+H18,"-")</f>
        <v>418971647.78999996</v>
      </c>
      <c r="K18" s="89">
        <f t="shared" si="4"/>
        <v>458220609.80000001</v>
      </c>
      <c r="O18" s="183">
        <f t="shared" ref="O18:O66" si="5">IFERROR((E18-D18)/D18,"-")</f>
        <v>9.8608378815391279E-2</v>
      </c>
      <c r="P18" s="184">
        <f t="shared" ref="P18:P80" si="6">IFERROR((G18-F18)/F18,"-")</f>
        <v>9.530537002938215E-2</v>
      </c>
      <c r="Q18" s="184">
        <f t="shared" ref="Q18:Q80" si="7">IFERROR((I18-H18)/H18,"-")</f>
        <v>8.1939540237826902E-2</v>
      </c>
      <c r="R18" s="185">
        <f t="shared" ref="R18:R80" si="8">IFERROR((K18-J18)/J18,"-")</f>
        <v>9.3679279294986331E-2</v>
      </c>
    </row>
    <row r="19" spans="2:18" s="189" customFormat="1" ht="18" customHeight="1" x14ac:dyDescent="0.2">
      <c r="B19" s="339"/>
      <c r="C19" s="95" t="s">
        <v>36</v>
      </c>
      <c r="D19" s="88">
        <f>'Hoja de Trabajo RG'!D18+'Hoja de Trabajo RETA'!D18</f>
        <v>27451245.849999998</v>
      </c>
      <c r="E19" s="89">
        <f>'Hoja de Trabajo RG'!E18+'Hoja de Trabajo RETA'!E18</f>
        <v>29179372.890000001</v>
      </c>
      <c r="F19" s="88">
        <f>'Hoja de Trabajo RG'!F18+'Hoja de Trabajo RETA'!F18</f>
        <v>12881869</v>
      </c>
      <c r="G19" s="89">
        <f>'Hoja de Trabajo RG'!G18+'Hoja de Trabajo RETA'!G18</f>
        <v>14179505</v>
      </c>
      <c r="H19" s="88">
        <f>'Hoja de Trabajo RG'!H18+'Hoja de Trabajo RETA'!H18</f>
        <v>11648065</v>
      </c>
      <c r="I19" s="89">
        <f>'Hoja de Trabajo RG'!I18+'Hoja de Trabajo RETA'!I18</f>
        <v>13470722</v>
      </c>
      <c r="J19" s="88">
        <f t="shared" si="4"/>
        <v>51981179.849999994</v>
      </c>
      <c r="K19" s="89">
        <f t="shared" si="4"/>
        <v>56829599.890000001</v>
      </c>
      <c r="O19" s="183">
        <f t="shared" si="5"/>
        <v>6.2952590546997089E-2</v>
      </c>
      <c r="P19" s="184">
        <f t="shared" si="6"/>
        <v>0.10073351933636338</v>
      </c>
      <c r="Q19" s="184">
        <f t="shared" si="7"/>
        <v>0.15647723463081636</v>
      </c>
      <c r="R19" s="185">
        <f t="shared" si="8"/>
        <v>9.3272604700218378E-2</v>
      </c>
    </row>
    <row r="20" spans="2:18" s="192" customFormat="1" ht="18" customHeight="1" x14ac:dyDescent="0.2">
      <c r="B20" s="339"/>
      <c r="C20" s="96" t="s">
        <v>48</v>
      </c>
      <c r="D20" s="190">
        <f t="shared" ref="D20:K20" si="9">IFERROR(D19/D18,"-")</f>
        <v>0.13255269381270304</v>
      </c>
      <c r="E20" s="191">
        <f t="shared" si="9"/>
        <v>0.12825064143796394</v>
      </c>
      <c r="F20" s="190">
        <f t="shared" si="9"/>
        <v>0.11740235471126305</v>
      </c>
      <c r="G20" s="191">
        <f t="shared" si="9"/>
        <v>0.11798418104737132</v>
      </c>
      <c r="H20" s="190">
        <f t="shared" si="9"/>
        <v>0.11402826352125321</v>
      </c>
      <c r="I20" s="191">
        <f t="shared" si="9"/>
        <v>0.12188397406922166</v>
      </c>
      <c r="J20" s="190">
        <f t="shared" si="9"/>
        <v>0.12406849037206065</v>
      </c>
      <c r="K20" s="191">
        <f t="shared" si="9"/>
        <v>0.12402235664346148</v>
      </c>
      <c r="O20" s="183">
        <f t="shared" si="5"/>
        <v>-3.2455412643804145E-2</v>
      </c>
      <c r="P20" s="184">
        <f t="shared" si="6"/>
        <v>4.9558319127346769E-3</v>
      </c>
      <c r="Q20" s="184">
        <f t="shared" si="7"/>
        <v>6.8892661392710414E-2</v>
      </c>
      <c r="R20" s="185">
        <f t="shared" si="8"/>
        <v>-3.7184081518863921E-4</v>
      </c>
    </row>
    <row r="21" spans="2:18" s="189" customFormat="1" ht="18" customHeight="1" x14ac:dyDescent="0.2">
      <c r="B21" s="339"/>
      <c r="C21" s="95" t="s">
        <v>54</v>
      </c>
      <c r="D21" s="88">
        <f>'Hoja de Trabajo RG'!D20+'Hoja de Trabajo RETA'!D20</f>
        <v>38419263</v>
      </c>
      <c r="E21" s="89">
        <f>'Hoja de Trabajo RG'!E20+'Hoja de Trabajo RETA'!E20</f>
        <v>40266360</v>
      </c>
      <c r="F21" s="88">
        <f>'Hoja de Trabajo RG'!F20+'Hoja de Trabajo RETA'!F20</f>
        <v>16905563</v>
      </c>
      <c r="G21" s="89">
        <f>'Hoja de Trabajo RG'!G20+'Hoja de Trabajo RETA'!G20</f>
        <v>27706123</v>
      </c>
      <c r="H21" s="88">
        <f>'Hoja de Trabajo RG'!H20+'Hoja de Trabajo RETA'!H20</f>
        <v>5445609</v>
      </c>
      <c r="I21" s="89">
        <f>'Hoja de Trabajo RG'!I20+'Hoja de Trabajo RETA'!I20</f>
        <v>15927151</v>
      </c>
      <c r="J21" s="88">
        <f>IFERROR(D21+F21+H21,"-")</f>
        <v>60770435</v>
      </c>
      <c r="K21" s="89">
        <f>IFERROR(E21+G21+I21,"-")</f>
        <v>83899634</v>
      </c>
      <c r="O21" s="183">
        <f t="shared" si="5"/>
        <v>4.8077366814662736E-2</v>
      </c>
      <c r="P21" s="184">
        <f t="shared" si="6"/>
        <v>0.63887609066908924</v>
      </c>
      <c r="Q21" s="184">
        <f t="shared" si="7"/>
        <v>1.9247694794099246</v>
      </c>
      <c r="R21" s="185">
        <f t="shared" si="8"/>
        <v>0.38059953001817415</v>
      </c>
    </row>
    <row r="22" spans="2:18" s="192" customFormat="1" ht="18" customHeight="1" x14ac:dyDescent="0.2">
      <c r="B22" s="339"/>
      <c r="C22" s="96" t="s">
        <v>49</v>
      </c>
      <c r="D22" s="190">
        <f t="shared" ref="D22:K22" si="10">IFERROR(D21/D18,"-")</f>
        <v>0.1855135039325988</v>
      </c>
      <c r="E22" s="191">
        <f t="shared" si="10"/>
        <v>0.17698072257549377</v>
      </c>
      <c r="F22" s="190">
        <f t="shared" si="10"/>
        <v>0.15407336496898116</v>
      </c>
      <c r="G22" s="191">
        <f t="shared" si="10"/>
        <v>0.23053584960495721</v>
      </c>
      <c r="H22" s="190">
        <f t="shared" si="10"/>
        <v>5.3309570137675927E-2</v>
      </c>
      <c r="I22" s="191">
        <f t="shared" si="10"/>
        <v>0.14410990438972596</v>
      </c>
      <c r="J22" s="190">
        <f t="shared" si="10"/>
        <v>0.14504665248962098</v>
      </c>
      <c r="K22" s="191">
        <f t="shared" si="10"/>
        <v>0.18309877863551305</v>
      </c>
      <c r="O22" s="183">
        <f t="shared" si="5"/>
        <v>-4.5995472977563831E-2</v>
      </c>
      <c r="P22" s="184">
        <f t="shared" si="6"/>
        <v>0.49627321796580393</v>
      </c>
      <c r="Q22" s="184">
        <f t="shared" si="7"/>
        <v>1.703265173918143</v>
      </c>
      <c r="R22" s="185">
        <f t="shared" si="8"/>
        <v>0.26234404926108129</v>
      </c>
    </row>
    <row r="23" spans="2:18" s="189" customFormat="1" ht="18" customHeight="1" x14ac:dyDescent="0.2">
      <c r="B23" s="339"/>
      <c r="C23" s="95" t="s">
        <v>33</v>
      </c>
      <c r="D23" s="88">
        <f>'Hoja de Trabajo RG'!D22+'Hoja de Trabajo RETA'!D22</f>
        <v>15725</v>
      </c>
      <c r="E23" s="89">
        <f>'Hoja de Trabajo RG'!E22+'Hoja de Trabajo RETA'!E22</f>
        <v>11878</v>
      </c>
      <c r="F23" s="88">
        <f>'Hoja de Trabajo RG'!F22+'Hoja de Trabajo RETA'!F22</f>
        <v>10318</v>
      </c>
      <c r="G23" s="89">
        <f>'Hoja de Trabajo RG'!G22+'Hoja de Trabajo RETA'!G22</f>
        <v>7215</v>
      </c>
      <c r="H23" s="88">
        <f>'Hoja de Trabajo RG'!H22+'Hoja de Trabajo RETA'!H22</f>
        <v>10474</v>
      </c>
      <c r="I23" s="89">
        <f>'Hoja de Trabajo RG'!I22+'Hoja de Trabajo RETA'!I22</f>
        <v>6504</v>
      </c>
      <c r="J23" s="88">
        <f t="shared" ref="J23:K24" si="11">IFERROR(D23+F23+H23,"-")</f>
        <v>36517</v>
      </c>
      <c r="K23" s="89">
        <f t="shared" si="11"/>
        <v>25597</v>
      </c>
      <c r="O23" s="183">
        <f t="shared" si="5"/>
        <v>-0.2446422893481717</v>
      </c>
      <c r="P23" s="184">
        <f t="shared" si="6"/>
        <v>-0.30073657685597982</v>
      </c>
      <c r="Q23" s="184">
        <f t="shared" si="7"/>
        <v>-0.37903379797594045</v>
      </c>
      <c r="R23" s="185">
        <f t="shared" si="8"/>
        <v>-0.2990388038447846</v>
      </c>
    </row>
    <row r="24" spans="2:18" s="189" customFormat="1" ht="18" customHeight="1" x14ac:dyDescent="0.2">
      <c r="B24" s="339"/>
      <c r="C24" s="95" t="s">
        <v>13</v>
      </c>
      <c r="D24" s="88">
        <f>'Hoja de Trabajo RG'!D23+'Hoja de Trabajo RETA'!D23</f>
        <v>96032</v>
      </c>
      <c r="E24" s="89">
        <f>'Hoja de Trabajo RG'!E23+'Hoja de Trabajo RETA'!E23</f>
        <v>65323</v>
      </c>
      <c r="F24" s="88">
        <f>'Hoja de Trabajo RG'!F23+'Hoja de Trabajo RETA'!F23</f>
        <v>43269</v>
      </c>
      <c r="G24" s="89">
        <f>'Hoja de Trabajo RG'!G23+'Hoja de Trabajo RETA'!G23</f>
        <v>28576</v>
      </c>
      <c r="H24" s="88">
        <f>'Hoja de Trabajo RG'!H23+'Hoja de Trabajo RETA'!H23</f>
        <v>58194</v>
      </c>
      <c r="I24" s="89">
        <f>'Hoja de Trabajo RG'!I23+'Hoja de Trabajo RETA'!I23</f>
        <v>39375</v>
      </c>
      <c r="J24" s="88">
        <f t="shared" si="11"/>
        <v>197495</v>
      </c>
      <c r="K24" s="89">
        <f t="shared" si="11"/>
        <v>133274</v>
      </c>
      <c r="O24" s="183">
        <f t="shared" si="5"/>
        <v>-0.31977882372542488</v>
      </c>
      <c r="P24" s="184">
        <f t="shared" si="6"/>
        <v>-0.33957336661351084</v>
      </c>
      <c r="Q24" s="184">
        <f t="shared" si="7"/>
        <v>-0.32338385400556757</v>
      </c>
      <c r="R24" s="185">
        <f t="shared" si="8"/>
        <v>-0.32517785260386339</v>
      </c>
    </row>
    <row r="25" spans="2:18" s="192" customFormat="1" ht="18" customHeight="1" x14ac:dyDescent="0.2">
      <c r="B25" s="339"/>
      <c r="C25" s="96" t="s">
        <v>34</v>
      </c>
      <c r="D25" s="190">
        <f>IFERROR(D23/D24,"-")</f>
        <v>0.16374750083305564</v>
      </c>
      <c r="E25" s="191">
        <f t="shared" ref="E25:K25" si="12">IFERROR(E23/E24,"-")</f>
        <v>0.18183488204767081</v>
      </c>
      <c r="F25" s="190">
        <f t="shared" si="12"/>
        <v>0.23846171624026438</v>
      </c>
      <c r="G25" s="191">
        <f t="shared" si="12"/>
        <v>0.25248460246360582</v>
      </c>
      <c r="H25" s="190">
        <f t="shared" si="12"/>
        <v>0.17998419081004915</v>
      </c>
      <c r="I25" s="191">
        <f t="shared" si="12"/>
        <v>0.16518095238095237</v>
      </c>
      <c r="J25" s="190">
        <f t="shared" si="12"/>
        <v>0.18490088356667259</v>
      </c>
      <c r="K25" s="191">
        <f t="shared" si="12"/>
        <v>0.19206296802076925</v>
      </c>
      <c r="O25" s="183">
        <f t="shared" si="5"/>
        <v>0.11045897569487595</v>
      </c>
      <c r="P25" s="184">
        <f t="shared" si="6"/>
        <v>5.88056080633612E-2</v>
      </c>
      <c r="Q25" s="184">
        <f t="shared" si="7"/>
        <v>-8.2247437191412837E-2</v>
      </c>
      <c r="R25" s="185">
        <f t="shared" si="8"/>
        <v>3.8734722711663616E-2</v>
      </c>
    </row>
    <row r="26" spans="2:18" s="189" customFormat="1" ht="18" customHeight="1" x14ac:dyDescent="0.2">
      <c r="B26" s="339"/>
      <c r="C26" s="95" t="s">
        <v>14</v>
      </c>
      <c r="D26" s="88">
        <f>'Hoja de Trabajo RG'!D25+'Hoja de Trabajo RETA'!D25</f>
        <v>43012</v>
      </c>
      <c r="E26" s="89">
        <f>'Hoja de Trabajo RG'!E25+'Hoja de Trabajo RETA'!E25</f>
        <v>30236</v>
      </c>
      <c r="F26" s="88">
        <f>'Hoja de Trabajo RG'!F25+'Hoja de Trabajo RETA'!F25</f>
        <v>19650</v>
      </c>
      <c r="G26" s="89">
        <f>'Hoja de Trabajo RG'!G25+'Hoja de Trabajo RETA'!G25</f>
        <v>13140</v>
      </c>
      <c r="H26" s="88">
        <f>'Hoja de Trabajo RG'!H25+'Hoja de Trabajo RETA'!H25</f>
        <v>23657</v>
      </c>
      <c r="I26" s="89">
        <f>'Hoja de Trabajo RG'!I25+'Hoja de Trabajo RETA'!I25</f>
        <v>17057</v>
      </c>
      <c r="J26" s="88">
        <f t="shared" ref="J26:K27" si="13">IFERROR(D26+F26+H26,"-")</f>
        <v>86319</v>
      </c>
      <c r="K26" s="89">
        <f t="shared" si="13"/>
        <v>60433</v>
      </c>
      <c r="O26" s="183">
        <f t="shared" si="5"/>
        <v>-0.29703338603180507</v>
      </c>
      <c r="P26" s="184">
        <f t="shared" si="6"/>
        <v>-0.33129770992366414</v>
      </c>
      <c r="Q26" s="184">
        <f t="shared" si="7"/>
        <v>-0.27898719195164223</v>
      </c>
      <c r="R26" s="185">
        <f t="shared" si="8"/>
        <v>-0.2998876261309793</v>
      </c>
    </row>
    <row r="27" spans="2:18" s="189" customFormat="1" ht="18" customHeight="1" x14ac:dyDescent="0.2">
      <c r="B27" s="339"/>
      <c r="C27" s="95" t="s">
        <v>15</v>
      </c>
      <c r="D27" s="88">
        <f>'Hoja de Trabajo RG'!D26+'Hoja de Trabajo RETA'!D26</f>
        <v>87564</v>
      </c>
      <c r="E27" s="89">
        <f>'Hoja de Trabajo RG'!E26+'Hoja de Trabajo RETA'!E26</f>
        <v>63718</v>
      </c>
      <c r="F27" s="88">
        <f>'Hoja de Trabajo RG'!F26+'Hoja de Trabajo RETA'!F26</f>
        <v>40790</v>
      </c>
      <c r="G27" s="89">
        <f>'Hoja de Trabajo RG'!G26+'Hoja de Trabajo RETA'!G26</f>
        <v>26771</v>
      </c>
      <c r="H27" s="88">
        <f>'Hoja de Trabajo RG'!H26+'Hoja de Trabajo RETA'!H26</f>
        <v>46538</v>
      </c>
      <c r="I27" s="89">
        <f>'Hoja de Trabajo RG'!I26+'Hoja de Trabajo RETA'!I26</f>
        <v>32871</v>
      </c>
      <c r="J27" s="88">
        <f t="shared" si="13"/>
        <v>174892</v>
      </c>
      <c r="K27" s="89">
        <f t="shared" si="13"/>
        <v>123360</v>
      </c>
      <c r="O27" s="183">
        <f t="shared" si="5"/>
        <v>-0.27232652688319403</v>
      </c>
      <c r="P27" s="184">
        <f t="shared" si="6"/>
        <v>-0.34368717822995831</v>
      </c>
      <c r="Q27" s="184">
        <f t="shared" si="7"/>
        <v>-0.29367398684945634</v>
      </c>
      <c r="R27" s="185">
        <f t="shared" si="8"/>
        <v>-0.2946504128262013</v>
      </c>
    </row>
    <row r="28" spans="2:18" s="192" customFormat="1" ht="18" customHeight="1" x14ac:dyDescent="0.2">
      <c r="B28" s="339"/>
      <c r="C28" s="96" t="s">
        <v>8</v>
      </c>
      <c r="D28" s="190">
        <f>IFERROR(D26/D27,"-")</f>
        <v>0.49120643186697732</v>
      </c>
      <c r="E28" s="191">
        <f t="shared" ref="E28:K28" si="14">IFERROR(E26/E27,"-")</f>
        <v>0.47452839072161712</v>
      </c>
      <c r="F28" s="190">
        <f t="shared" si="14"/>
        <v>0.48173571953910271</v>
      </c>
      <c r="G28" s="191">
        <f t="shared" si="14"/>
        <v>0.49082962907623923</v>
      </c>
      <c r="H28" s="190">
        <f t="shared" si="14"/>
        <v>0.50833727276634144</v>
      </c>
      <c r="I28" s="191">
        <f t="shared" si="14"/>
        <v>0.51890724346688566</v>
      </c>
      <c r="J28" s="190">
        <f t="shared" si="14"/>
        <v>0.49355602314571279</v>
      </c>
      <c r="K28" s="191">
        <f t="shared" si="14"/>
        <v>0.48989137483787287</v>
      </c>
      <c r="O28" s="183">
        <f t="shared" si="5"/>
        <v>-3.3953222236871583E-2</v>
      </c>
      <c r="P28" s="184">
        <f t="shared" si="6"/>
        <v>1.8877382698208569E-2</v>
      </c>
      <c r="Q28" s="184">
        <f t="shared" si="7"/>
        <v>2.0793223843341372E-2</v>
      </c>
      <c r="R28" s="185">
        <f t="shared" si="8"/>
        <v>-7.4249895371208893E-3</v>
      </c>
    </row>
    <row r="29" spans="2:18" s="114" customFormat="1" ht="18" customHeight="1" x14ac:dyDescent="0.2">
      <c r="B29" s="339"/>
      <c r="C29" s="193" t="s">
        <v>19</v>
      </c>
      <c r="D29" s="194">
        <f t="shared" ref="D29:K29" si="15">IFERROR((D26*100*$M$7)/D17,"-")</f>
        <v>3.8442743554537158</v>
      </c>
      <c r="E29" s="195">
        <f t="shared" si="15"/>
        <v>2.6588715155769895</v>
      </c>
      <c r="F29" s="194">
        <f t="shared" si="15"/>
        <v>3.2801001000861758</v>
      </c>
      <c r="G29" s="195">
        <f t="shared" si="15"/>
        <v>2.2233251739969093</v>
      </c>
      <c r="H29" s="194">
        <f t="shared" si="15"/>
        <v>3.986723280672571</v>
      </c>
      <c r="I29" s="195">
        <f t="shared" si="15"/>
        <v>2.8747894125884046</v>
      </c>
      <c r="J29" s="194">
        <f t="shared" si="15"/>
        <v>3.7346185054033869</v>
      </c>
      <c r="K29" s="195">
        <f t="shared" si="15"/>
        <v>2.603174979229586</v>
      </c>
      <c r="O29" s="183">
        <f t="shared" si="5"/>
        <v>-0.30835542166626151</v>
      </c>
      <c r="P29" s="184">
        <f t="shared" si="6"/>
        <v>-0.3221776451461047</v>
      </c>
      <c r="Q29" s="184">
        <f t="shared" si="7"/>
        <v>-0.27890921686859094</v>
      </c>
      <c r="R29" s="185">
        <f t="shared" si="8"/>
        <v>-0.30296093818867598</v>
      </c>
    </row>
    <row r="30" spans="2:18" s="189" customFormat="1" ht="18" customHeight="1" x14ac:dyDescent="0.2">
      <c r="B30" s="339"/>
      <c r="C30" s="95" t="s">
        <v>16</v>
      </c>
      <c r="D30" s="88">
        <f>'Hoja de Trabajo RG'!D29+'Hoja de Trabajo RETA'!D29</f>
        <v>1669751.67</v>
      </c>
      <c r="E30" s="89">
        <f>'Hoja de Trabajo RG'!E29+'Hoja de Trabajo RETA'!E29</f>
        <v>1479467.94</v>
      </c>
      <c r="F30" s="88">
        <f>'Hoja de Trabajo RG'!F29+'Hoja de Trabajo RETA'!F29</f>
        <v>803902</v>
      </c>
      <c r="G30" s="89">
        <f>'Hoja de Trabajo RG'!G29+'Hoja de Trabajo RETA'!G29</f>
        <v>738624</v>
      </c>
      <c r="H30" s="88">
        <f>'Hoja de Trabajo RG'!H29+'Hoja de Trabajo RETA'!H29</f>
        <v>814037</v>
      </c>
      <c r="I30" s="89">
        <f>'Hoja de Trabajo RG'!I29+'Hoja de Trabajo RETA'!I29</f>
        <v>707680</v>
      </c>
      <c r="J30" s="88">
        <f t="shared" ref="J30:K31" si="16">IFERROR(D30+F30+H30,"-")</f>
        <v>3287690.67</v>
      </c>
      <c r="K30" s="89">
        <f t="shared" si="16"/>
        <v>2925771.94</v>
      </c>
      <c r="O30" s="183">
        <f t="shared" si="5"/>
        <v>-0.11395929910942984</v>
      </c>
      <c r="P30" s="184">
        <f t="shared" si="6"/>
        <v>-8.120143997651455E-2</v>
      </c>
      <c r="Q30" s="184">
        <f t="shared" si="7"/>
        <v>-0.13065376635214371</v>
      </c>
      <c r="R30" s="185">
        <f t="shared" si="8"/>
        <v>-0.11008296288409639</v>
      </c>
    </row>
    <row r="31" spans="2:18" s="189" customFormat="1" ht="18" customHeight="1" x14ac:dyDescent="0.2">
      <c r="B31" s="339"/>
      <c r="C31" s="95" t="s">
        <v>17</v>
      </c>
      <c r="D31" s="88">
        <f>'Hoja de Trabajo RG'!D30+'Hoja de Trabajo RETA'!D30</f>
        <v>41589</v>
      </c>
      <c r="E31" s="89">
        <f>'Hoja de Trabajo RG'!E30+'Hoja de Trabajo RETA'!E30</f>
        <v>30698</v>
      </c>
      <c r="F31" s="88">
        <f>'Hoja de Trabajo RG'!F30+'Hoja de Trabajo RETA'!F30</f>
        <v>21770</v>
      </c>
      <c r="G31" s="89">
        <f>'Hoja de Trabajo RG'!G30+'Hoja de Trabajo RETA'!G30</f>
        <v>16328</v>
      </c>
      <c r="H31" s="88">
        <f>'Hoja de Trabajo RG'!H30+'Hoja de Trabajo RETA'!H30</f>
        <v>23289</v>
      </c>
      <c r="I31" s="89">
        <f>'Hoja de Trabajo RG'!I30+'Hoja de Trabajo RETA'!I30</f>
        <v>17910</v>
      </c>
      <c r="J31" s="88">
        <f t="shared" si="16"/>
        <v>86648</v>
      </c>
      <c r="K31" s="89">
        <f t="shared" si="16"/>
        <v>64936</v>
      </c>
      <c r="O31" s="183">
        <f t="shared" si="5"/>
        <v>-0.261872129649667</v>
      </c>
      <c r="P31" s="184">
        <f t="shared" si="6"/>
        <v>-0.24997703261368856</v>
      </c>
      <c r="Q31" s="184">
        <f t="shared" si="7"/>
        <v>-0.23096740950663402</v>
      </c>
      <c r="R31" s="185">
        <f t="shared" si="8"/>
        <v>-0.25057704736404762</v>
      </c>
    </row>
    <row r="32" spans="2:18" s="197" customFormat="1" ht="18" customHeight="1" x14ac:dyDescent="0.2">
      <c r="B32" s="339"/>
      <c r="C32" s="196" t="s">
        <v>20</v>
      </c>
      <c r="D32" s="194">
        <f>IFERROR(D30/D31,"-")</f>
        <v>40.148877587823705</v>
      </c>
      <c r="E32" s="195">
        <f t="shared" ref="E32:K32" si="17">IFERROR(E30/E31,"-")</f>
        <v>48.194277803114204</v>
      </c>
      <c r="F32" s="194">
        <f t="shared" si="17"/>
        <v>36.927055581074875</v>
      </c>
      <c r="G32" s="195">
        <f t="shared" si="17"/>
        <v>45.236648701616858</v>
      </c>
      <c r="H32" s="194">
        <f t="shared" si="17"/>
        <v>34.953712052900514</v>
      </c>
      <c r="I32" s="195">
        <f t="shared" si="17"/>
        <v>39.513121161362371</v>
      </c>
      <c r="J32" s="194">
        <f t="shared" si="17"/>
        <v>37.943064698550458</v>
      </c>
      <c r="K32" s="195">
        <f t="shared" si="17"/>
        <v>45.056239066157445</v>
      </c>
      <c r="O32" s="183">
        <f t="shared" si="5"/>
        <v>0.20038916897967021</v>
      </c>
      <c r="P32" s="184">
        <f t="shared" si="6"/>
        <v>0.22502723246639386</v>
      </c>
      <c r="Q32" s="184">
        <f t="shared" si="7"/>
        <v>0.13044134201144195</v>
      </c>
      <c r="R32" s="185">
        <f t="shared" si="8"/>
        <v>0.18746968448963303</v>
      </c>
    </row>
    <row r="33" spans="2:21" s="197" customFormat="1" ht="18" customHeight="1" x14ac:dyDescent="0.2">
      <c r="B33" s="339"/>
      <c r="C33" s="198" t="s">
        <v>26</v>
      </c>
      <c r="D33" s="88">
        <f>'Hoja de Trabajo RG'!D32+'Hoja de Trabajo RETA'!D32</f>
        <v>1618228</v>
      </c>
      <c r="E33" s="89">
        <f>'Hoja de Trabajo RG'!E32+'Hoja de Trabajo RETA'!E32</f>
        <v>1543684</v>
      </c>
      <c r="F33" s="88">
        <f>'Hoja de Trabajo RG'!F32+'Hoja de Trabajo RETA'!F32</f>
        <v>805882</v>
      </c>
      <c r="G33" s="89">
        <f>'Hoja de Trabajo RG'!G32+'Hoja de Trabajo RETA'!G32</f>
        <v>722446</v>
      </c>
      <c r="H33" s="88">
        <f>'Hoja de Trabajo RG'!H32+'Hoja de Trabajo RETA'!H32</f>
        <v>737953</v>
      </c>
      <c r="I33" s="89">
        <f>'Hoja de Trabajo RG'!I32+'Hoja de Trabajo RETA'!I32</f>
        <v>780143</v>
      </c>
      <c r="J33" s="88">
        <f t="shared" ref="J33:K33" si="18">IFERROR(D33+F33+H33,"-")</f>
        <v>3162063</v>
      </c>
      <c r="K33" s="89">
        <f t="shared" si="18"/>
        <v>3046273</v>
      </c>
      <c r="O33" s="183">
        <f t="shared" si="5"/>
        <v>-4.6065202184117443E-2</v>
      </c>
      <c r="P33" s="184">
        <f t="shared" si="6"/>
        <v>-0.10353376797099327</v>
      </c>
      <c r="Q33" s="184">
        <f t="shared" si="7"/>
        <v>5.7171662693965605E-2</v>
      </c>
      <c r="R33" s="185">
        <f t="shared" si="8"/>
        <v>-3.6618498745913663E-2</v>
      </c>
    </row>
    <row r="34" spans="2:21" s="197" customFormat="1" ht="18" customHeight="1" x14ac:dyDescent="0.2">
      <c r="B34" s="339"/>
      <c r="C34" s="196" t="s">
        <v>30</v>
      </c>
      <c r="D34" s="194">
        <f t="shared" ref="D34:K34" si="19">IFERROR((D33*$M$7)/D17,"-")</f>
        <v>1.4463201901044256</v>
      </c>
      <c r="E34" s="195">
        <f t="shared" si="19"/>
        <v>1.3574736792736968</v>
      </c>
      <c r="F34" s="194">
        <f t="shared" si="19"/>
        <v>1.3452283098512199</v>
      </c>
      <c r="G34" s="195">
        <f t="shared" si="19"/>
        <v>1.222399070512459</v>
      </c>
      <c r="H34" s="194">
        <f t="shared" si="19"/>
        <v>1.2436126326846877</v>
      </c>
      <c r="I34" s="195">
        <f t="shared" si="19"/>
        <v>1.3148542162777486</v>
      </c>
      <c r="J34" s="194">
        <f t="shared" si="19"/>
        <v>1.368076436827506</v>
      </c>
      <c r="K34" s="195">
        <f t="shared" si="19"/>
        <v>1.3121939426311202</v>
      </c>
      <c r="O34" s="183">
        <f t="shared" si="5"/>
        <v>-6.1429351148250246E-2</v>
      </c>
      <c r="P34" s="184">
        <f t="shared" si="6"/>
        <v>-9.1307355368060616E-2</v>
      </c>
      <c r="Q34" s="184">
        <f t="shared" si="7"/>
        <v>5.7285992213882454E-2</v>
      </c>
      <c r="R34" s="185">
        <f t="shared" si="8"/>
        <v>-4.0847494110763452E-2</v>
      </c>
    </row>
    <row r="35" spans="2:21" s="189" customFormat="1" ht="18" customHeight="1" x14ac:dyDescent="0.2">
      <c r="B35" s="339"/>
      <c r="C35" s="95" t="s">
        <v>18</v>
      </c>
      <c r="D35" s="88">
        <f>'Hoja de Trabajo RG'!D34+'Hoja de Trabajo RETA'!D34</f>
        <v>11531</v>
      </c>
      <c r="E35" s="89">
        <f>'Hoja de Trabajo RG'!E34+'Hoja de Trabajo RETA'!E34</f>
        <v>10352</v>
      </c>
      <c r="F35" s="88">
        <f>'Hoja de Trabajo RG'!F34+'Hoja de Trabajo RETA'!F34</f>
        <v>4415</v>
      </c>
      <c r="G35" s="89">
        <f>'Hoja de Trabajo RG'!G34+'Hoja de Trabajo RETA'!G34</f>
        <v>3277</v>
      </c>
      <c r="H35" s="88">
        <f>'Hoja de Trabajo RG'!H34+'Hoja de Trabajo RETA'!H34</f>
        <v>5389</v>
      </c>
      <c r="I35" s="89">
        <f>'Hoja de Trabajo RG'!I34+'Hoja de Trabajo RETA'!I34</f>
        <v>4975</v>
      </c>
      <c r="J35" s="88">
        <f>IFERROR(D35+F35+H35,"-")</f>
        <v>21335</v>
      </c>
      <c r="K35" s="89">
        <f>IFERROR(E35+G35+I35,"-")</f>
        <v>18604</v>
      </c>
      <c r="O35" s="183">
        <f t="shared" si="5"/>
        <v>-0.10224611915705489</v>
      </c>
      <c r="P35" s="184">
        <f t="shared" si="6"/>
        <v>-0.25775764439411097</v>
      </c>
      <c r="Q35" s="184">
        <f t="shared" si="7"/>
        <v>-7.6823158285396181E-2</v>
      </c>
      <c r="R35" s="185">
        <f t="shared" si="8"/>
        <v>-0.1280056245605812</v>
      </c>
    </row>
    <row r="36" spans="2:21" s="189" customFormat="1" ht="18" customHeight="1" x14ac:dyDescent="0.2">
      <c r="B36" s="339"/>
      <c r="C36" s="199" t="s">
        <v>69</v>
      </c>
      <c r="D36" s="194">
        <f>IFERROR((D35*100)/D26/$M$7,"-")</f>
        <v>11.170332310362999</v>
      </c>
      <c r="E36" s="195">
        <f t="shared" ref="E36:K36" si="20">IFERROR((E35*100)/E26/$M$7,"-")</f>
        <v>14.265555408563744</v>
      </c>
      <c r="F36" s="194">
        <f t="shared" si="20"/>
        <v>9.3617472434266329</v>
      </c>
      <c r="G36" s="195">
        <f t="shared" si="20"/>
        <v>10.391298833079656</v>
      </c>
      <c r="H36" s="194">
        <f t="shared" si="20"/>
        <v>9.4915528877992426</v>
      </c>
      <c r="I36" s="195">
        <f t="shared" si="20"/>
        <v>12.152879560688673</v>
      </c>
      <c r="J36" s="194">
        <f t="shared" si="20"/>
        <v>10.298524465451793</v>
      </c>
      <c r="K36" s="195">
        <f t="shared" si="20"/>
        <v>12.826877147695244</v>
      </c>
      <c r="O36" s="183">
        <f t="shared" ref="O36" si="21">IFERROR((E36-D36)/D36,"-")</f>
        <v>0.27709319760605755</v>
      </c>
      <c r="P36" s="184">
        <f t="shared" ref="P36" si="22">IFERROR((G36-F36)/F36,"-")</f>
        <v>0.10997429890835009</v>
      </c>
      <c r="Q36" s="184">
        <f t="shared" ref="Q36" si="23">IFERROR((I36-H36)/H36,"-")</f>
        <v>0.2803889631495799</v>
      </c>
      <c r="R36" s="185">
        <f t="shared" ref="R36" si="24">IFERROR((K36-J36)/J36,"-")</f>
        <v>0.24550630439586307</v>
      </c>
    </row>
    <row r="37" spans="2:21" s="114" customFormat="1" ht="18" customHeight="1" x14ac:dyDescent="0.2">
      <c r="B37" s="339"/>
      <c r="C37" s="193" t="s">
        <v>45</v>
      </c>
      <c r="D37" s="194">
        <f t="shared" ref="D37:K37" si="25">IFERROR((D35*100)/D17,"-")</f>
        <v>0.42941822042624533</v>
      </c>
      <c r="E37" s="195">
        <f t="shared" si="25"/>
        <v>0.379302789297154</v>
      </c>
      <c r="F37" s="194">
        <f t="shared" si="25"/>
        <v>0.30707468070145177</v>
      </c>
      <c r="G37" s="195">
        <f t="shared" si="25"/>
        <v>0.23103236286110704</v>
      </c>
      <c r="H37" s="194">
        <f t="shared" si="25"/>
        <v>0.37840194867524207</v>
      </c>
      <c r="I37" s="195">
        <f t="shared" si="25"/>
        <v>0.34936969493529813</v>
      </c>
      <c r="J37" s="194">
        <f t="shared" si="25"/>
        <v>0.38461060047025791</v>
      </c>
      <c r="K37" s="195">
        <f t="shared" si="25"/>
        <v>0.33390605652532018</v>
      </c>
      <c r="O37" s="183">
        <f t="shared" si="5"/>
        <v>-0.11670541384887255</v>
      </c>
      <c r="P37" s="184">
        <f t="shared" si="6"/>
        <v>-0.24763460688664074</v>
      </c>
      <c r="Q37" s="184">
        <f t="shared" si="7"/>
        <v>-7.6723319849656621E-2</v>
      </c>
      <c r="R37" s="185">
        <f t="shared" si="8"/>
        <v>-0.13183345410381828</v>
      </c>
    </row>
    <row r="38" spans="2:21" s="189" customFormat="1" ht="18" customHeight="1" x14ac:dyDescent="0.2">
      <c r="B38" s="339"/>
      <c r="C38" s="95" t="s">
        <v>4</v>
      </c>
      <c r="D38" s="88">
        <f>'Hoja de Trabajo RG'!D37+'Hoja de Trabajo RETA'!D37</f>
        <v>4689</v>
      </c>
      <c r="E38" s="89">
        <f>'Hoja de Trabajo RG'!E37+'Hoja de Trabajo RETA'!E37</f>
        <v>3724</v>
      </c>
      <c r="F38" s="88">
        <f>'Hoja de Trabajo RG'!F37+'Hoja de Trabajo RETA'!F37</f>
        <v>2693</v>
      </c>
      <c r="G38" s="89">
        <f>'Hoja de Trabajo RG'!G37+'Hoja de Trabajo RETA'!G37</f>
        <v>2037</v>
      </c>
      <c r="H38" s="88">
        <f>'Hoja de Trabajo RG'!H37+'Hoja de Trabajo RETA'!H37</f>
        <v>2525</v>
      </c>
      <c r="I38" s="89">
        <f>'Hoja de Trabajo RG'!I37+'Hoja de Trabajo RETA'!I37</f>
        <v>2047</v>
      </c>
      <c r="J38" s="88">
        <f t="shared" ref="J38:K39" si="26">IFERROR(D38+F38+H38,"-")</f>
        <v>9907</v>
      </c>
      <c r="K38" s="89">
        <f t="shared" si="26"/>
        <v>7808</v>
      </c>
      <c r="O38" s="183">
        <f t="shared" si="5"/>
        <v>-0.20580081040733633</v>
      </c>
      <c r="P38" s="184">
        <f t="shared" si="6"/>
        <v>-0.2435945042703305</v>
      </c>
      <c r="Q38" s="184">
        <f t="shared" si="7"/>
        <v>-0.18930693069306931</v>
      </c>
      <c r="R38" s="185">
        <f t="shared" si="8"/>
        <v>-0.21187039467043506</v>
      </c>
    </row>
    <row r="39" spans="2:21" s="189" customFormat="1" ht="18" customHeight="1" x14ac:dyDescent="0.2">
      <c r="B39" s="339"/>
      <c r="C39" s="95" t="s">
        <v>37</v>
      </c>
      <c r="D39" s="88">
        <f>'Hoja de Trabajo RG'!D38+'Hoja de Trabajo RETA'!D38</f>
        <v>9404143.5499999989</v>
      </c>
      <c r="E39" s="89">
        <f>'Hoja de Trabajo RG'!E38+'Hoja de Trabajo RETA'!E38</f>
        <v>8215830.9000000004</v>
      </c>
      <c r="F39" s="88">
        <f>'Hoja de Trabajo RG'!F38+'Hoja de Trabajo RETA'!F38</f>
        <v>5829042</v>
      </c>
      <c r="G39" s="89">
        <f>'Hoja de Trabajo RG'!G38+'Hoja de Trabajo RETA'!G38</f>
        <v>5245897</v>
      </c>
      <c r="H39" s="88">
        <f>'Hoja de Trabajo RG'!H38+'Hoja de Trabajo RETA'!H38</f>
        <v>5151981</v>
      </c>
      <c r="I39" s="89">
        <f>'Hoja de Trabajo RG'!I38+'Hoja de Trabajo RETA'!I38</f>
        <v>4351139</v>
      </c>
      <c r="J39" s="88">
        <f t="shared" si="26"/>
        <v>20385166.549999997</v>
      </c>
      <c r="K39" s="89">
        <f t="shared" si="26"/>
        <v>17812866.899999999</v>
      </c>
      <c r="O39" s="183">
        <f t="shared" si="5"/>
        <v>-0.12636053923272988</v>
      </c>
      <c r="P39" s="184">
        <f t="shared" si="6"/>
        <v>-0.10004131039028369</v>
      </c>
      <c r="Q39" s="184">
        <f t="shared" si="7"/>
        <v>-0.15544350804088758</v>
      </c>
      <c r="R39" s="185">
        <f t="shared" si="8"/>
        <v>-0.12618487289229427</v>
      </c>
    </row>
    <row r="40" spans="2:21" s="192" customFormat="1" ht="18" customHeight="1" x14ac:dyDescent="0.2">
      <c r="B40" s="339"/>
      <c r="C40" s="96" t="s">
        <v>50</v>
      </c>
      <c r="D40" s="190">
        <f t="shared" ref="D40:K40" si="27">IFERROR(D39/D18,"-")</f>
        <v>4.5409398442798038E-2</v>
      </c>
      <c r="E40" s="191">
        <f t="shared" si="27"/>
        <v>3.6110631535606133E-2</v>
      </c>
      <c r="F40" s="190">
        <f t="shared" si="27"/>
        <v>5.3124531580848261E-2</v>
      </c>
      <c r="G40" s="191">
        <f t="shared" si="27"/>
        <v>4.3649821443263501E-2</v>
      </c>
      <c r="H40" s="190">
        <f t="shared" si="27"/>
        <v>5.0435110649235698E-2</v>
      </c>
      <c r="I40" s="191">
        <f t="shared" si="27"/>
        <v>3.9369390374738571E-2</v>
      </c>
      <c r="J40" s="190">
        <f t="shared" si="27"/>
        <v>4.8655241130343981E-2</v>
      </c>
      <c r="K40" s="191">
        <f t="shared" si="27"/>
        <v>3.8873997631347919E-2</v>
      </c>
      <c r="O40" s="183">
        <f t="shared" si="5"/>
        <v>-0.20477626275770883</v>
      </c>
      <c r="P40" s="184">
        <f t="shared" si="6"/>
        <v>-0.17834905750021623</v>
      </c>
      <c r="Q40" s="184">
        <f t="shared" si="7"/>
        <v>-0.21940509561794366</v>
      </c>
      <c r="R40" s="185">
        <f t="shared" si="8"/>
        <v>-0.20103165191994005</v>
      </c>
      <c r="T40" s="200"/>
      <c r="U40" s="200"/>
    </row>
    <row r="41" spans="2:21" s="189" customFormat="1" ht="18" customHeight="1" x14ac:dyDescent="0.2">
      <c r="B41" s="339"/>
      <c r="C41" s="95" t="s">
        <v>5</v>
      </c>
      <c r="D41" s="88">
        <f>'Hoja de Trabajo RG'!D40+'Hoja de Trabajo RETA'!D40</f>
        <v>244</v>
      </c>
      <c r="E41" s="89">
        <f>'Hoja de Trabajo RG'!E40+'Hoja de Trabajo RETA'!E40</f>
        <v>185</v>
      </c>
      <c r="F41" s="88">
        <f>'Hoja de Trabajo RG'!F40+'Hoja de Trabajo RETA'!F40</f>
        <v>119</v>
      </c>
      <c r="G41" s="89">
        <f>'Hoja de Trabajo RG'!G40+'Hoja de Trabajo RETA'!G40</f>
        <v>145</v>
      </c>
      <c r="H41" s="88">
        <f>'Hoja de Trabajo RG'!H40+'Hoja de Trabajo RETA'!H40</f>
        <v>99</v>
      </c>
      <c r="I41" s="89">
        <f>'Hoja de Trabajo RG'!I40+'Hoja de Trabajo RETA'!I40</f>
        <v>111</v>
      </c>
      <c r="J41" s="88">
        <f t="shared" ref="J41:K42" si="28">IFERROR(D41+F41+H41,"-")</f>
        <v>462</v>
      </c>
      <c r="K41" s="89">
        <f t="shared" si="28"/>
        <v>441</v>
      </c>
      <c r="O41" s="183">
        <f t="shared" si="5"/>
        <v>-0.24180327868852458</v>
      </c>
      <c r="P41" s="184">
        <f t="shared" si="6"/>
        <v>0.21848739495798319</v>
      </c>
      <c r="Q41" s="184">
        <f t="shared" si="7"/>
        <v>0.12121212121212122</v>
      </c>
      <c r="R41" s="185">
        <f t="shared" si="8"/>
        <v>-4.5454545454545456E-2</v>
      </c>
    </row>
    <row r="42" spans="2:21" s="189" customFormat="1" ht="18" customHeight="1" x14ac:dyDescent="0.2">
      <c r="B42" s="339"/>
      <c r="C42" s="95" t="s">
        <v>38</v>
      </c>
      <c r="D42" s="88">
        <f>'Hoja de Trabajo RG'!D41+'Hoja de Trabajo RETA'!D41</f>
        <v>2694201.5100000002</v>
      </c>
      <c r="E42" s="89">
        <f>'Hoja de Trabajo RG'!E41+'Hoja de Trabajo RETA'!E41</f>
        <v>3345310.48</v>
      </c>
      <c r="F42" s="88">
        <f>'Hoja de Trabajo RG'!F41+'Hoja de Trabajo RETA'!F41</f>
        <v>1482956</v>
      </c>
      <c r="G42" s="89">
        <f>'Hoja de Trabajo RG'!G41+'Hoja de Trabajo RETA'!G41</f>
        <v>1886016</v>
      </c>
      <c r="H42" s="88">
        <f>'Hoja de Trabajo RG'!H41+'Hoja de Trabajo RETA'!H41</f>
        <v>1171558</v>
      </c>
      <c r="I42" s="89">
        <f>'Hoja de Trabajo RG'!I41+'Hoja de Trabajo RETA'!I41</f>
        <v>1381914</v>
      </c>
      <c r="J42" s="88">
        <f t="shared" si="28"/>
        <v>5348715.51</v>
      </c>
      <c r="K42" s="89">
        <f t="shared" si="28"/>
        <v>6613240.4800000004</v>
      </c>
      <c r="O42" s="183">
        <f t="shared" si="5"/>
        <v>0.24167047920628612</v>
      </c>
      <c r="P42" s="184">
        <f t="shared" si="6"/>
        <v>0.27179498245396355</v>
      </c>
      <c r="Q42" s="184">
        <f t="shared" si="7"/>
        <v>0.17955235677619033</v>
      </c>
      <c r="R42" s="185">
        <f t="shared" si="8"/>
        <v>0.2364165691063275</v>
      </c>
    </row>
    <row r="43" spans="2:21" s="192" customFormat="1" ht="18" customHeight="1" x14ac:dyDescent="0.2">
      <c r="B43" s="339"/>
      <c r="C43" s="96" t="s">
        <v>51</v>
      </c>
      <c r="D43" s="190">
        <f t="shared" ref="D43:K43" si="29">IFERROR(D42/D18,"-")</f>
        <v>1.3009379238237825E-2</v>
      </c>
      <c r="E43" s="191">
        <f t="shared" si="29"/>
        <v>1.4703476201717063E-2</v>
      </c>
      <c r="F43" s="190">
        <f t="shared" si="29"/>
        <v>1.3515315699390811E-2</v>
      </c>
      <c r="G43" s="191">
        <f t="shared" si="29"/>
        <v>1.5693076253525003E-2</v>
      </c>
      <c r="H43" s="190">
        <f t="shared" si="29"/>
        <v>1.1468919889649685E-2</v>
      </c>
      <c r="I43" s="191">
        <f t="shared" si="29"/>
        <v>1.250364829308291E-2</v>
      </c>
      <c r="J43" s="190">
        <f t="shared" si="29"/>
        <v>1.2766294660303415E-2</v>
      </c>
      <c r="K43" s="191">
        <f t="shared" si="29"/>
        <v>1.4432437866307428E-2</v>
      </c>
      <c r="O43" s="183">
        <f t="shared" si="5"/>
        <v>0.13022119906381566</v>
      </c>
      <c r="P43" s="184">
        <f t="shared" si="6"/>
        <v>0.16113279205400677</v>
      </c>
      <c r="Q43" s="184">
        <f t="shared" si="7"/>
        <v>9.0220213707049468E-2</v>
      </c>
      <c r="R43" s="185">
        <f t="shared" si="8"/>
        <v>0.13051110367872501</v>
      </c>
    </row>
    <row r="44" spans="2:21" s="192" customFormat="1" ht="18" customHeight="1" x14ac:dyDescent="0.2">
      <c r="B44" s="339"/>
      <c r="C44" s="201" t="s">
        <v>55</v>
      </c>
      <c r="D44" s="202">
        <f>'Hoja de Trabajo RG'!D43+'Hoja de Trabajo RETA'!D43</f>
        <v>6984696.6200000001</v>
      </c>
      <c r="E44" s="188">
        <f>'Hoja de Trabajo RG'!E43+'Hoja de Trabajo RETA'!E43</f>
        <v>6949395.4199999999</v>
      </c>
      <c r="F44" s="202">
        <f>'Hoja de Trabajo RG'!F43+'Hoja de Trabajo RETA'!F43</f>
        <v>4317662</v>
      </c>
      <c r="G44" s="188">
        <f>'Hoja de Trabajo RG'!G43+'Hoja de Trabajo RETA'!G43</f>
        <v>4033105</v>
      </c>
      <c r="H44" s="202">
        <f>'Hoja de Trabajo RG'!H43+'Hoja de Trabajo RETA'!H43</f>
        <v>4451572</v>
      </c>
      <c r="I44" s="188">
        <f>'Hoja de Trabajo RG'!I43+'Hoja de Trabajo RETA'!I43</f>
        <v>4315113</v>
      </c>
      <c r="J44" s="88">
        <f>IFERROR(D44+F44+H44,"-")</f>
        <v>15753930.620000001</v>
      </c>
      <c r="K44" s="89">
        <f>IFERROR(E44+G44+I44,"-")</f>
        <v>15297613.42</v>
      </c>
      <c r="O44" s="183">
        <f t="shared" si="5"/>
        <v>-5.0540777818350235E-3</v>
      </c>
      <c r="P44" s="184">
        <f t="shared" si="6"/>
        <v>-6.590534414226959E-2</v>
      </c>
      <c r="Q44" s="184">
        <f t="shared" si="7"/>
        <v>-3.0654114995781266E-2</v>
      </c>
      <c r="R44" s="185">
        <f t="shared" si="8"/>
        <v>-2.8965291964704685E-2</v>
      </c>
    </row>
    <row r="45" spans="2:21" s="189" customFormat="1" ht="18" customHeight="1" thickBot="1" x14ac:dyDescent="0.25">
      <c r="B45" s="340"/>
      <c r="C45" s="203" t="s">
        <v>56</v>
      </c>
      <c r="D45" s="204">
        <f>IFERROR(D44/D18,"-")</f>
        <v>3.3726715264745695E-2</v>
      </c>
      <c r="E45" s="205">
        <f t="shared" ref="E45:K45" si="30">IFERROR(E44/E18,"-")</f>
        <v>3.0544330873076855E-2</v>
      </c>
      <c r="F45" s="204">
        <f t="shared" si="30"/>
        <v>3.9350166163570011E-2</v>
      </c>
      <c r="G45" s="205">
        <f t="shared" si="30"/>
        <v>3.3558476865240251E-2</v>
      </c>
      <c r="H45" s="204">
        <f t="shared" si="30"/>
        <v>4.3578484932890758E-2</v>
      </c>
      <c r="I45" s="205">
        <f t="shared" si="30"/>
        <v>3.9043424769493518E-2</v>
      </c>
      <c r="J45" s="204">
        <f t="shared" si="30"/>
        <v>3.7601424113300148E-2</v>
      </c>
      <c r="K45" s="205">
        <f t="shared" si="30"/>
        <v>3.3384821836531894E-2</v>
      </c>
      <c r="O45" s="183">
        <f t="shared" si="5"/>
        <v>-9.4357970134001282E-2</v>
      </c>
      <c r="P45" s="184">
        <f t="shared" si="6"/>
        <v>-0.1471833504909478</v>
      </c>
      <c r="Q45" s="184">
        <f t="shared" si="7"/>
        <v>-0.10406649451859247</v>
      </c>
      <c r="R45" s="185">
        <f t="shared" si="8"/>
        <v>-0.11213943025303616</v>
      </c>
    </row>
    <row r="46" spans="2:21" s="189" customFormat="1" ht="18" customHeight="1" x14ac:dyDescent="0.2">
      <c r="B46" s="338" t="s">
        <v>10</v>
      </c>
      <c r="C46" s="94" t="s">
        <v>6</v>
      </c>
      <c r="D46" s="86">
        <f>'Hoja de Trabajo RG'!D45+'Hoja de Trabajo RETA'!D45</f>
        <v>2317312</v>
      </c>
      <c r="E46" s="87">
        <f>'Hoja de Trabajo RG'!E45+'Hoja de Trabajo RETA'!E45</f>
        <v>2315087</v>
      </c>
      <c r="F46" s="86">
        <f>'Hoja de Trabajo RG'!F45+'Hoja de Trabajo RETA'!F45</f>
        <v>1209457</v>
      </c>
      <c r="G46" s="87">
        <f>'Hoja de Trabajo RG'!G45+'Hoja de Trabajo RETA'!G45</f>
        <v>1175727</v>
      </c>
      <c r="H46" s="86">
        <f>'Hoja de Trabajo RG'!H45+'Hoja de Trabajo RETA'!H45</f>
        <v>1187923</v>
      </c>
      <c r="I46" s="87">
        <f>'Hoja de Trabajo RG'!I45+'Hoja de Trabajo RETA'!I45</f>
        <v>1204053</v>
      </c>
      <c r="J46" s="86">
        <f t="shared" ref="J46:K48" si="31">IFERROR(D46+F46+H46,"-")</f>
        <v>4714692</v>
      </c>
      <c r="K46" s="87">
        <f t="shared" si="31"/>
        <v>4694867</v>
      </c>
      <c r="O46" s="183">
        <f t="shared" si="5"/>
        <v>-9.6016419023420242E-4</v>
      </c>
      <c r="P46" s="184">
        <f t="shared" si="6"/>
        <v>-2.788854833202007E-2</v>
      </c>
      <c r="Q46" s="184">
        <f t="shared" si="7"/>
        <v>1.3578321153812158E-2</v>
      </c>
      <c r="R46" s="185">
        <f t="shared" si="8"/>
        <v>-4.2049406408732528E-3</v>
      </c>
    </row>
    <row r="47" spans="2:21" s="189" customFormat="1" ht="18" customHeight="1" x14ac:dyDescent="0.2">
      <c r="B47" s="339"/>
      <c r="C47" s="95" t="s">
        <v>39</v>
      </c>
      <c r="D47" s="88">
        <f>'Hoja de Trabajo RG'!D46+'Hoja de Trabajo RETA'!D46</f>
        <v>107050995.04000001</v>
      </c>
      <c r="E47" s="89">
        <f>'Hoja de Trabajo RG'!E46+'Hoja de Trabajo RETA'!E46</f>
        <v>115840395.66</v>
      </c>
      <c r="F47" s="88">
        <f>'Hoja de Trabajo RG'!F46+'Hoja de Trabajo RETA'!F46</f>
        <v>60130820</v>
      </c>
      <c r="G47" s="89">
        <f>'Hoja de Trabajo RG'!G46+'Hoja de Trabajo RETA'!G46</f>
        <v>63543070</v>
      </c>
      <c r="H47" s="88">
        <f>'Hoja de Trabajo RG'!H46+'Hoja de Trabajo RETA'!H46</f>
        <v>53356873</v>
      </c>
      <c r="I47" s="89">
        <f>'Hoja de Trabajo RG'!I46+'Hoja de Trabajo RETA'!I46</f>
        <v>57617920</v>
      </c>
      <c r="J47" s="88">
        <f t="shared" si="31"/>
        <v>220538688.04000002</v>
      </c>
      <c r="K47" s="89">
        <f t="shared" si="31"/>
        <v>237001385.66</v>
      </c>
      <c r="O47" s="183">
        <f t="shared" si="5"/>
        <v>8.210480077009838E-2</v>
      </c>
      <c r="P47" s="184">
        <f t="shared" si="6"/>
        <v>5.6747105727146245E-2</v>
      </c>
      <c r="Q47" s="184">
        <f t="shared" si="7"/>
        <v>7.9859383813590423E-2</v>
      </c>
      <c r="R47" s="185">
        <f t="shared" si="8"/>
        <v>7.4647662803789178E-2</v>
      </c>
    </row>
    <row r="48" spans="2:21" s="189" customFormat="1" ht="18" customHeight="1" x14ac:dyDescent="0.2">
      <c r="B48" s="339"/>
      <c r="C48" s="95" t="s">
        <v>40</v>
      </c>
      <c r="D48" s="88">
        <f>'Hoja de Trabajo RG'!D47+'Hoja de Trabajo RETA'!D47</f>
        <v>162069388.83000001</v>
      </c>
      <c r="E48" s="89">
        <f>'Hoja de Trabajo RG'!E47+'Hoja de Trabajo RETA'!E47</f>
        <v>180213818.72</v>
      </c>
      <c r="F48" s="88">
        <f>'Hoja de Trabajo RG'!F47+'Hoja de Trabajo RETA'!F47</f>
        <v>86292239</v>
      </c>
      <c r="G48" s="89">
        <f>'Hoja de Trabajo RG'!G47+'Hoja de Trabajo RETA'!G47</f>
        <v>95301783</v>
      </c>
      <c r="H48" s="88">
        <f>'Hoja de Trabajo RG'!H47+'Hoja de Trabajo RETA'!H47</f>
        <v>73347767</v>
      </c>
      <c r="I48" s="89">
        <f>'Hoja de Trabajo RG'!I47+'Hoja de Trabajo RETA'!I47</f>
        <v>84412829</v>
      </c>
      <c r="J48" s="88">
        <f t="shared" si="31"/>
        <v>321709394.83000004</v>
      </c>
      <c r="K48" s="89">
        <f t="shared" si="31"/>
        <v>359928430.72000003</v>
      </c>
      <c r="O48" s="183">
        <f t="shared" si="5"/>
        <v>0.11195470052048066</v>
      </c>
      <c r="P48" s="184">
        <f t="shared" si="6"/>
        <v>0.10440735000513778</v>
      </c>
      <c r="Q48" s="184">
        <f t="shared" si="7"/>
        <v>0.15085751690300264</v>
      </c>
      <c r="R48" s="185">
        <f t="shared" si="8"/>
        <v>0.11879987499338016</v>
      </c>
    </row>
    <row r="49" spans="2:18" s="192" customFormat="1" ht="18" customHeight="1" x14ac:dyDescent="0.2">
      <c r="B49" s="339"/>
      <c r="C49" s="96" t="s">
        <v>52</v>
      </c>
      <c r="D49" s="190">
        <f>IFERROR(D48/D47,"-")</f>
        <v>1.5139456552406838</v>
      </c>
      <c r="E49" s="191">
        <f t="shared" ref="E49:K49" si="32">IFERROR(E48/E47,"-")</f>
        <v>1.5557079004541792</v>
      </c>
      <c r="F49" s="190">
        <f t="shared" si="32"/>
        <v>1.4350750413847675</v>
      </c>
      <c r="G49" s="191">
        <f t="shared" si="32"/>
        <v>1.4997982156039991</v>
      </c>
      <c r="H49" s="190">
        <f t="shared" si="32"/>
        <v>1.3746638975638621</v>
      </c>
      <c r="I49" s="191">
        <f t="shared" si="32"/>
        <v>1.4650447117841117</v>
      </c>
      <c r="J49" s="190">
        <f t="shared" si="32"/>
        <v>1.4587435777782911</v>
      </c>
      <c r="K49" s="191">
        <f t="shared" si="32"/>
        <v>1.5186764824925962</v>
      </c>
      <c r="O49" s="183">
        <f t="shared" si="5"/>
        <v>2.7585035875581736E-2</v>
      </c>
      <c r="P49" s="184">
        <f t="shared" si="6"/>
        <v>4.5100898805108695E-2</v>
      </c>
      <c r="Q49" s="184">
        <f t="shared" si="7"/>
        <v>6.5747572465109275E-2</v>
      </c>
      <c r="R49" s="185">
        <f t="shared" si="8"/>
        <v>4.1085291224098951E-2</v>
      </c>
    </row>
    <row r="50" spans="2:18" s="189" customFormat="1" ht="18" customHeight="1" x14ac:dyDescent="0.2">
      <c r="B50" s="339"/>
      <c r="C50" s="95" t="s">
        <v>21</v>
      </c>
      <c r="D50" s="88">
        <f>'Hoja de Trabajo RG'!D49+'Hoja de Trabajo RETA'!D49</f>
        <v>27794</v>
      </c>
      <c r="E50" s="89">
        <f>'Hoja de Trabajo RG'!E49+'Hoja de Trabajo RETA'!E49</f>
        <v>18253</v>
      </c>
      <c r="F50" s="88">
        <f>'Hoja de Trabajo RG'!F49+'Hoja de Trabajo RETA'!F49</f>
        <v>14786</v>
      </c>
      <c r="G50" s="89">
        <f>'Hoja de Trabajo RG'!G49+'Hoja de Trabajo RETA'!G49</f>
        <v>11907</v>
      </c>
      <c r="H50" s="88">
        <f>'Hoja de Trabajo RG'!H49+'Hoja de Trabajo RETA'!H49</f>
        <v>19489</v>
      </c>
      <c r="I50" s="89">
        <f>'Hoja de Trabajo RG'!I49+'Hoja de Trabajo RETA'!I49</f>
        <v>10468</v>
      </c>
      <c r="J50" s="88">
        <f t="shared" ref="J50:K53" si="33">IFERROR(D50+F50+H50,"-")</f>
        <v>62069</v>
      </c>
      <c r="K50" s="89">
        <f t="shared" si="33"/>
        <v>40628</v>
      </c>
      <c r="O50" s="183">
        <f t="shared" si="5"/>
        <v>-0.34327552709217818</v>
      </c>
      <c r="P50" s="184">
        <f t="shared" si="6"/>
        <v>-0.19471121330988772</v>
      </c>
      <c r="Q50" s="184">
        <f t="shared" si="7"/>
        <v>-0.46287649443275691</v>
      </c>
      <c r="R50" s="185">
        <f t="shared" si="8"/>
        <v>-0.34543814142325474</v>
      </c>
    </row>
    <row r="51" spans="2:18" s="189" customFormat="1" ht="18" customHeight="1" x14ac:dyDescent="0.2">
      <c r="B51" s="339"/>
      <c r="C51" s="95" t="s">
        <v>22</v>
      </c>
      <c r="D51" s="88">
        <f>'Hoja de Trabajo RG'!D50+'Hoja de Trabajo RETA'!D50</f>
        <v>114075</v>
      </c>
      <c r="E51" s="89">
        <f>'Hoja de Trabajo RG'!E50+'Hoja de Trabajo RETA'!E50</f>
        <v>103384</v>
      </c>
      <c r="F51" s="88">
        <f>'Hoja de Trabajo RG'!F50+'Hoja de Trabajo RETA'!F50</f>
        <v>53418</v>
      </c>
      <c r="G51" s="89">
        <f>'Hoja de Trabajo RG'!G50+'Hoja de Trabajo RETA'!G50</f>
        <v>49012</v>
      </c>
      <c r="H51" s="88">
        <f>'Hoja de Trabajo RG'!H50+'Hoja de Trabajo RETA'!H50</f>
        <v>59234</v>
      </c>
      <c r="I51" s="89">
        <f>'Hoja de Trabajo RG'!I50+'Hoja de Trabajo RETA'!I50</f>
        <v>53155</v>
      </c>
      <c r="J51" s="88">
        <f t="shared" si="33"/>
        <v>226727</v>
      </c>
      <c r="K51" s="89">
        <f t="shared" si="33"/>
        <v>205551</v>
      </c>
      <c r="O51" s="183">
        <f t="shared" si="5"/>
        <v>-9.3719044488275255E-2</v>
      </c>
      <c r="P51" s="184">
        <f t="shared" si="6"/>
        <v>-8.2481560522670264E-2</v>
      </c>
      <c r="Q51" s="184">
        <f t="shared" si="7"/>
        <v>-0.102626869703211</v>
      </c>
      <c r="R51" s="185">
        <f t="shared" si="8"/>
        <v>-9.3398668883723598E-2</v>
      </c>
    </row>
    <row r="52" spans="2:18" s="189" customFormat="1" ht="18" customHeight="1" x14ac:dyDescent="0.2">
      <c r="B52" s="339"/>
      <c r="C52" s="199" t="s">
        <v>70</v>
      </c>
      <c r="D52" s="194">
        <f>IFERROR((D51*$M$7*100)/D46,"-")</f>
        <v>11.814550651789659</v>
      </c>
      <c r="E52" s="195">
        <f t="shared" ref="E52:K52" si="34">IFERROR((E51*$M$7*100)/E46,"-")</f>
        <v>10.717592902556143</v>
      </c>
      <c r="F52" s="194">
        <f t="shared" si="34"/>
        <v>10.600062672753145</v>
      </c>
      <c r="G52" s="195">
        <f t="shared" si="34"/>
        <v>10.004771515836584</v>
      </c>
      <c r="H52" s="194">
        <f t="shared" si="34"/>
        <v>11.967240300928596</v>
      </c>
      <c r="I52" s="195">
        <f t="shared" si="34"/>
        <v>10.595214662477483</v>
      </c>
      <c r="J52" s="194">
        <f t="shared" si="34"/>
        <v>11.541470789608312</v>
      </c>
      <c r="K52" s="195">
        <f t="shared" si="34"/>
        <v>10.507697023153158</v>
      </c>
      <c r="O52" s="183">
        <f t="shared" ref="O52" si="35">IFERROR((E52-D52)/D52,"-")</f>
        <v>-9.2848029651246153E-2</v>
      </c>
      <c r="P52" s="184">
        <f t="shared" ref="P52" si="36">IFERROR((G52-F52)/F52,"-")</f>
        <v>-5.6159211062659371E-2</v>
      </c>
      <c r="Q52" s="184">
        <f t="shared" ref="Q52" si="37">IFERROR((I52-H52)/H52,"-")</f>
        <v>-0.11464845728422876</v>
      </c>
      <c r="R52" s="185">
        <f t="shared" ref="R52" si="38">IFERROR((K52-J52)/J52,"-")</f>
        <v>-8.9570366316391925E-2</v>
      </c>
    </row>
    <row r="53" spans="2:18" s="189" customFormat="1" ht="18" customHeight="1" x14ac:dyDescent="0.2">
      <c r="B53" s="339"/>
      <c r="C53" s="95" t="s">
        <v>23</v>
      </c>
      <c r="D53" s="88">
        <f>'Hoja de Trabajo RG'!D52+'Hoja de Trabajo RETA'!D52</f>
        <v>65159</v>
      </c>
      <c r="E53" s="89">
        <f>'Hoja de Trabajo RG'!E52+'Hoja de Trabajo RETA'!E52</f>
        <v>52835</v>
      </c>
      <c r="F53" s="88">
        <f>'Hoja de Trabajo RG'!F52+'Hoja de Trabajo RETA'!F52</f>
        <v>41856</v>
      </c>
      <c r="G53" s="89">
        <f>'Hoja de Trabajo RG'!G52+'Hoja de Trabajo RETA'!G52</f>
        <v>20039</v>
      </c>
      <c r="H53" s="88">
        <f>'Hoja de Trabajo RG'!H52+'Hoja de Trabajo RETA'!H52</f>
        <v>31161</v>
      </c>
      <c r="I53" s="89" t="e">
        <f>'Hoja de Trabajo RG'!I52+'Hoja de Trabajo RETA'!I52</f>
        <v>#VALUE!</v>
      </c>
      <c r="J53" s="88">
        <f t="shared" si="33"/>
        <v>138176</v>
      </c>
      <c r="K53" s="89" t="str">
        <f t="shared" si="33"/>
        <v>-</v>
      </c>
      <c r="O53" s="183">
        <f t="shared" si="5"/>
        <v>-0.18913734096594484</v>
      </c>
      <c r="P53" s="184">
        <f t="shared" si="6"/>
        <v>-0.52123948776758411</v>
      </c>
      <c r="Q53" s="184" t="str">
        <f t="shared" si="7"/>
        <v>-</v>
      </c>
      <c r="R53" s="185" t="str">
        <f t="shared" si="8"/>
        <v>-</v>
      </c>
    </row>
    <row r="54" spans="2:18" s="192" customFormat="1" ht="18" customHeight="1" x14ac:dyDescent="0.2">
      <c r="B54" s="339"/>
      <c r="C54" s="96" t="s">
        <v>29</v>
      </c>
      <c r="D54" s="190">
        <f>IFERROR(D50/D51,"-")</f>
        <v>0.24364672364672366</v>
      </c>
      <c r="E54" s="191">
        <f>IFERROR(E50/E51,"-")</f>
        <v>0.17655536640099048</v>
      </c>
      <c r="F54" s="190">
        <f t="shared" ref="F54:K54" si="39">IFERROR(F50/F51,"-")</f>
        <v>0.276798083043169</v>
      </c>
      <c r="G54" s="191">
        <f t="shared" si="39"/>
        <v>0.24294050436627765</v>
      </c>
      <c r="H54" s="190">
        <f t="shared" si="39"/>
        <v>0.32901711854678056</v>
      </c>
      <c r="I54" s="191">
        <f t="shared" si="39"/>
        <v>0.19693349637851565</v>
      </c>
      <c r="J54" s="190">
        <f t="shared" si="39"/>
        <v>0.27376095480467699</v>
      </c>
      <c r="K54" s="191">
        <f t="shared" si="39"/>
        <v>0.19765411017217138</v>
      </c>
      <c r="O54" s="183">
        <f t="shared" si="5"/>
        <v>-0.27536326465449418</v>
      </c>
      <c r="P54" s="184">
        <f t="shared" si="6"/>
        <v>-0.12231868914934274</v>
      </c>
      <c r="Q54" s="184">
        <f t="shared" si="7"/>
        <v>-0.4014490879734724</v>
      </c>
      <c r="R54" s="185">
        <f t="shared" si="8"/>
        <v>-0.27800474573449063</v>
      </c>
    </row>
    <row r="55" spans="2:18" s="192" customFormat="1" ht="18" customHeight="1" x14ac:dyDescent="0.2">
      <c r="B55" s="339"/>
      <c r="C55" s="96" t="s">
        <v>28</v>
      </c>
      <c r="D55" s="190">
        <f>IFERROR(D50/D53,"-")</f>
        <v>0.42655657698859711</v>
      </c>
      <c r="E55" s="191">
        <f>IFERROR(E50/E53,"-")</f>
        <v>0.34547175167975774</v>
      </c>
      <c r="F55" s="190">
        <f t="shared" ref="F55:K55" si="40">IFERROR(F50/F53,"-")</f>
        <v>0.35325879204892968</v>
      </c>
      <c r="G55" s="191">
        <f t="shared" si="40"/>
        <v>0.59419132691252063</v>
      </c>
      <c r="H55" s="190">
        <f t="shared" si="40"/>
        <v>0.62542922242546772</v>
      </c>
      <c r="I55" s="191" t="str">
        <f t="shared" si="40"/>
        <v>-</v>
      </c>
      <c r="J55" s="190">
        <f t="shared" si="40"/>
        <v>0.44920246641963874</v>
      </c>
      <c r="K55" s="191" t="str">
        <f t="shared" si="40"/>
        <v>-</v>
      </c>
      <c r="O55" s="183">
        <f t="shared" si="5"/>
        <v>-0.19009160726410967</v>
      </c>
      <c r="P55" s="184">
        <f t="shared" si="6"/>
        <v>0.68202841737119313</v>
      </c>
      <c r="Q55" s="184" t="str">
        <f t="shared" si="7"/>
        <v>-</v>
      </c>
      <c r="R55" s="185" t="str">
        <f t="shared" si="8"/>
        <v>-</v>
      </c>
    </row>
    <row r="56" spans="2:18" s="189" customFormat="1" ht="18" customHeight="1" x14ac:dyDescent="0.2">
      <c r="B56" s="339"/>
      <c r="C56" s="95" t="s">
        <v>24</v>
      </c>
      <c r="D56" s="88">
        <f>'Hoja de Trabajo RG'!D55+'Hoja de Trabajo RETA'!D55</f>
        <v>12671046.059999999</v>
      </c>
      <c r="E56" s="89">
        <f>'Hoja de Trabajo RG'!E55+'Hoja de Trabajo RETA'!E55</f>
        <v>10440150.600000001</v>
      </c>
      <c r="F56" s="88">
        <f>'Hoja de Trabajo RG'!F55+'Hoja de Trabajo RETA'!F55</f>
        <v>6337965</v>
      </c>
      <c r="G56" s="89">
        <f>'Hoja de Trabajo RG'!G55+'Hoja de Trabajo RETA'!G55</f>
        <v>5183419</v>
      </c>
      <c r="H56" s="88">
        <f>'Hoja de Trabajo RG'!H55+'Hoja de Trabajo RETA'!H55</f>
        <v>6029209</v>
      </c>
      <c r="I56" s="89">
        <f>'Hoja de Trabajo RG'!I55+'Hoja de Trabajo RETA'!I55</f>
        <v>4990302</v>
      </c>
      <c r="J56" s="88">
        <f t="shared" ref="J56:K57" si="41">IFERROR(D56+F56+H56,"-")</f>
        <v>25038220.059999999</v>
      </c>
      <c r="K56" s="89">
        <f t="shared" si="41"/>
        <v>20613871.600000001</v>
      </c>
      <c r="O56" s="183">
        <f t="shared" si="5"/>
        <v>-0.17606245367874523</v>
      </c>
      <c r="P56" s="184">
        <f t="shared" si="6"/>
        <v>-0.18216351778528281</v>
      </c>
      <c r="Q56" s="184">
        <f t="shared" si="7"/>
        <v>-0.1723123215665604</v>
      </c>
      <c r="R56" s="185">
        <f t="shared" si="8"/>
        <v>-0.17670379321684088</v>
      </c>
    </row>
    <row r="57" spans="2:18" s="189" customFormat="1" ht="18" customHeight="1" x14ac:dyDescent="0.2">
      <c r="B57" s="339"/>
      <c r="C57" s="95" t="s">
        <v>25</v>
      </c>
      <c r="D57" s="88">
        <f>'Hoja de Trabajo RG'!D56+'Hoja de Trabajo RETA'!D56</f>
        <v>347791</v>
      </c>
      <c r="E57" s="89">
        <f>'Hoja de Trabajo RG'!E56+'Hoja de Trabajo RETA'!E56</f>
        <v>279938</v>
      </c>
      <c r="F57" s="88">
        <f>'Hoja de Trabajo RG'!F56+'Hoja de Trabajo RETA'!F56</f>
        <v>175384</v>
      </c>
      <c r="G57" s="89">
        <f>'Hoja de Trabajo RG'!G56+'Hoja de Trabajo RETA'!G56</f>
        <v>136827</v>
      </c>
      <c r="H57" s="88">
        <f>'Hoja de Trabajo RG'!H56+'Hoja de Trabajo RETA'!H56</f>
        <v>170293</v>
      </c>
      <c r="I57" s="89">
        <f>'Hoja de Trabajo RG'!I56+'Hoja de Trabajo RETA'!I56</f>
        <v>137815</v>
      </c>
      <c r="J57" s="88">
        <f t="shared" si="41"/>
        <v>693468</v>
      </c>
      <c r="K57" s="89">
        <f t="shared" si="41"/>
        <v>554580</v>
      </c>
      <c r="O57" s="183">
        <f t="shared" si="5"/>
        <v>-0.19509705541546504</v>
      </c>
      <c r="P57" s="184">
        <f t="shared" si="6"/>
        <v>-0.2198433152397026</v>
      </c>
      <c r="Q57" s="184">
        <f t="shared" si="7"/>
        <v>-0.19071835013770383</v>
      </c>
      <c r="R57" s="185">
        <f t="shared" si="8"/>
        <v>-0.20028033016664071</v>
      </c>
    </row>
    <row r="58" spans="2:18" s="197" customFormat="1" ht="18" customHeight="1" x14ac:dyDescent="0.2">
      <c r="B58" s="339"/>
      <c r="C58" s="196" t="s">
        <v>3</v>
      </c>
      <c r="D58" s="194">
        <f>IFERROR(D56/D57,"-")</f>
        <v>36.432932594575476</v>
      </c>
      <c r="E58" s="195">
        <f t="shared" ref="E58:K58" si="42">IFERROR(E56/E57,"-")</f>
        <v>37.294510212975737</v>
      </c>
      <c r="F58" s="194">
        <f t="shared" si="42"/>
        <v>36.137646535601881</v>
      </c>
      <c r="G58" s="195">
        <f t="shared" si="42"/>
        <v>37.883012855649838</v>
      </c>
      <c r="H58" s="194">
        <f t="shared" si="42"/>
        <v>35.404913883718059</v>
      </c>
      <c r="I58" s="195">
        <f t="shared" si="42"/>
        <v>36.210151289772519</v>
      </c>
      <c r="J58" s="194">
        <f t="shared" si="42"/>
        <v>36.105804536042037</v>
      </c>
      <c r="K58" s="195">
        <f t="shared" si="42"/>
        <v>37.170239821125897</v>
      </c>
      <c r="O58" s="183">
        <f t="shared" si="5"/>
        <v>2.3648319172872242E-2</v>
      </c>
      <c r="P58" s="184">
        <f t="shared" si="6"/>
        <v>4.8297730687261738E-2</v>
      </c>
      <c r="Q58" s="184">
        <f t="shared" si="7"/>
        <v>2.2743662326058369E-2</v>
      </c>
      <c r="R58" s="185">
        <f t="shared" si="8"/>
        <v>2.9481001704900516E-2</v>
      </c>
    </row>
    <row r="59" spans="2:18" s="189" customFormat="1" ht="18" customHeight="1" x14ac:dyDescent="0.2">
      <c r="B59" s="339"/>
      <c r="C59" s="95" t="s">
        <v>26</v>
      </c>
      <c r="D59" s="88">
        <f>'Hoja de Trabajo RG'!D58+'Hoja de Trabajo RETA'!D58</f>
        <v>10718294</v>
      </c>
      <c r="E59" s="89">
        <f>'Hoja de Trabajo RG'!E58+'Hoja de Trabajo RETA'!E58</f>
        <v>12385085</v>
      </c>
      <c r="F59" s="88">
        <f>'Hoja de Trabajo RG'!F58+'Hoja de Trabajo RETA'!F58</f>
        <v>5590684</v>
      </c>
      <c r="G59" s="89">
        <f>'Hoja de Trabajo RG'!G58+'Hoja de Trabajo RETA'!G58</f>
        <v>6260077</v>
      </c>
      <c r="H59" s="88">
        <f>'Hoja de Trabajo RG'!H58+'Hoja de Trabajo RETA'!H58</f>
        <v>4998990</v>
      </c>
      <c r="I59" s="89">
        <f>'Hoja de Trabajo RG'!I58+'Hoja de Trabajo RETA'!I58</f>
        <v>6017649</v>
      </c>
      <c r="J59" s="88">
        <f>IFERROR(D59+F59+H59,"-")</f>
        <v>21307968</v>
      </c>
      <c r="K59" s="89">
        <f>IFERROR(E59+G59+I59,"-")</f>
        <v>24662811</v>
      </c>
      <c r="O59" s="183">
        <f t="shared" si="5"/>
        <v>0.15550898305271343</v>
      </c>
      <c r="P59" s="184">
        <f t="shared" si="6"/>
        <v>0.11973364976450108</v>
      </c>
      <c r="Q59" s="184">
        <f t="shared" si="7"/>
        <v>0.20377296213835194</v>
      </c>
      <c r="R59" s="185">
        <f t="shared" si="8"/>
        <v>0.15744546828679298</v>
      </c>
    </row>
    <row r="60" spans="2:18" s="114" customFormat="1" ht="18" customHeight="1" x14ac:dyDescent="0.2">
      <c r="B60" s="339"/>
      <c r="C60" s="193" t="s">
        <v>30</v>
      </c>
      <c r="D60" s="194">
        <f t="shared" ref="D60:K60" si="43">IFERROR((D59*$M$7)/D46,"-")</f>
        <v>11.100751905656207</v>
      </c>
      <c r="E60" s="195">
        <f t="shared" si="43"/>
        <v>12.839346426289811</v>
      </c>
      <c r="F60" s="194">
        <f t="shared" si="43"/>
        <v>11.093938519517437</v>
      </c>
      <c r="G60" s="195">
        <f t="shared" si="43"/>
        <v>12.778633815503088</v>
      </c>
      <c r="H60" s="194">
        <f t="shared" si="43"/>
        <v>10.099624302248547</v>
      </c>
      <c r="I60" s="195">
        <f t="shared" si="43"/>
        <v>11.994785611596832</v>
      </c>
      <c r="J60" s="194">
        <f t="shared" si="43"/>
        <v>10.846758006673605</v>
      </c>
      <c r="K60" s="195">
        <f t="shared" si="43"/>
        <v>12.607544878268117</v>
      </c>
      <c r="O60" s="183">
        <f t="shared" si="5"/>
        <v>0.15661952770494153</v>
      </c>
      <c r="P60" s="184">
        <f t="shared" si="6"/>
        <v>0.15185727710873706</v>
      </c>
      <c r="Q60" s="184">
        <f t="shared" si="7"/>
        <v>0.18764671364323454</v>
      </c>
      <c r="R60" s="185">
        <f t="shared" si="8"/>
        <v>0.16233300959707639</v>
      </c>
    </row>
    <row r="61" spans="2:18" s="189" customFormat="1" ht="18" customHeight="1" x14ac:dyDescent="0.2">
      <c r="B61" s="339"/>
      <c r="C61" s="95" t="s">
        <v>27</v>
      </c>
      <c r="D61" s="88">
        <f>'Hoja de Trabajo RG'!D60+'Hoja de Trabajo RETA'!D60</f>
        <v>70984</v>
      </c>
      <c r="E61" s="89">
        <f>'Hoja de Trabajo RG'!E60+'Hoja de Trabajo RETA'!E60</f>
        <v>75728</v>
      </c>
      <c r="F61" s="88">
        <f>'Hoja de Trabajo RG'!F60+'Hoja de Trabajo RETA'!F60</f>
        <v>37691</v>
      </c>
      <c r="G61" s="89">
        <f>'Hoja de Trabajo RG'!G60+'Hoja de Trabajo RETA'!G60</f>
        <v>41495</v>
      </c>
      <c r="H61" s="88">
        <f>'Hoja de Trabajo RG'!H60+'Hoja de Trabajo RETA'!H60</f>
        <v>38123</v>
      </c>
      <c r="I61" s="89">
        <f>'Hoja de Trabajo RG'!I60+'Hoja de Trabajo RETA'!I60</f>
        <v>44284</v>
      </c>
      <c r="J61" s="88">
        <f>IFERROR(D61+F61+H61,"-")</f>
        <v>146798</v>
      </c>
      <c r="K61" s="89">
        <f>IFERROR(E61+G61+I61,"-")</f>
        <v>161507</v>
      </c>
      <c r="O61" s="183">
        <f t="shared" si="5"/>
        <v>6.6831962132311504E-2</v>
      </c>
      <c r="P61" s="184">
        <f t="shared" si="6"/>
        <v>0.10092595049215994</v>
      </c>
      <c r="Q61" s="184">
        <f t="shared" si="7"/>
        <v>0.16160847782178736</v>
      </c>
      <c r="R61" s="185">
        <f t="shared" si="8"/>
        <v>0.10019891279172741</v>
      </c>
    </row>
    <row r="62" spans="2:18" s="114" customFormat="1" ht="18" customHeight="1" thickBot="1" x14ac:dyDescent="0.25">
      <c r="B62" s="340"/>
      <c r="C62" s="206" t="s">
        <v>31</v>
      </c>
      <c r="D62" s="207">
        <f t="shared" ref="D62:K62" si="44">IFERROR((D61*100)/D46,"-")</f>
        <v>3.0632042642509942</v>
      </c>
      <c r="E62" s="208">
        <f t="shared" si="44"/>
        <v>3.2710649750959684</v>
      </c>
      <c r="F62" s="207">
        <f t="shared" si="44"/>
        <v>3.1163571751620767</v>
      </c>
      <c r="G62" s="208">
        <f t="shared" si="44"/>
        <v>3.5293056976662101</v>
      </c>
      <c r="H62" s="207">
        <f t="shared" si="44"/>
        <v>3.2092147386657217</v>
      </c>
      <c r="I62" s="208">
        <f t="shared" si="44"/>
        <v>3.6779111882948676</v>
      </c>
      <c r="J62" s="207">
        <f t="shared" si="44"/>
        <v>3.1136286315203625</v>
      </c>
      <c r="K62" s="208">
        <f t="shared" si="44"/>
        <v>3.4400761512519948</v>
      </c>
      <c r="O62" s="183">
        <f t="shared" si="5"/>
        <v>6.7857280453283667E-2</v>
      </c>
      <c r="P62" s="184">
        <f t="shared" si="6"/>
        <v>0.1325100106609752</v>
      </c>
      <c r="Q62" s="184">
        <f t="shared" si="7"/>
        <v>0.14604708247850481</v>
      </c>
      <c r="R62" s="185">
        <f t="shared" si="8"/>
        <v>0.10484471925357082</v>
      </c>
    </row>
    <row r="63" spans="2:18" s="189" customFormat="1" ht="18" customHeight="1" x14ac:dyDescent="0.2">
      <c r="B63" s="338" t="s">
        <v>59</v>
      </c>
      <c r="C63" s="94" t="s">
        <v>7</v>
      </c>
      <c r="D63" s="65">
        <v>371203</v>
      </c>
      <c r="E63" s="66">
        <v>432421</v>
      </c>
      <c r="F63" s="65">
        <v>157882</v>
      </c>
      <c r="G63" s="66">
        <v>181094</v>
      </c>
      <c r="H63" s="65">
        <v>188598</v>
      </c>
      <c r="I63" s="66">
        <v>201254</v>
      </c>
      <c r="J63" s="86">
        <f t="shared" ref="J63:K65" si="45">IFERROR(D63+F63+H63,"-")</f>
        <v>717683</v>
      </c>
      <c r="K63" s="87">
        <f t="shared" si="45"/>
        <v>814769</v>
      </c>
      <c r="O63" s="183">
        <f t="shared" si="5"/>
        <v>0.16491784818549418</v>
      </c>
      <c r="P63" s="184">
        <f t="shared" si="6"/>
        <v>0.14702119304290545</v>
      </c>
      <c r="Q63" s="184">
        <f t="shared" si="7"/>
        <v>6.710569571257384E-2</v>
      </c>
      <c r="R63" s="185">
        <f t="shared" si="8"/>
        <v>0.13527699555374725</v>
      </c>
    </row>
    <row r="64" spans="2:18" s="189" customFormat="1" ht="18" customHeight="1" x14ac:dyDescent="0.2">
      <c r="B64" s="339"/>
      <c r="C64" s="95" t="s">
        <v>41</v>
      </c>
      <c r="D64" s="67">
        <v>6657381.1200000001</v>
      </c>
      <c r="E64" s="68">
        <v>6881491.21</v>
      </c>
      <c r="F64" s="67">
        <v>2946078</v>
      </c>
      <c r="G64" s="68">
        <v>3049148</v>
      </c>
      <c r="H64" s="67">
        <v>3379880</v>
      </c>
      <c r="I64" s="68">
        <v>3512801</v>
      </c>
      <c r="J64" s="88">
        <f t="shared" si="45"/>
        <v>12983339.120000001</v>
      </c>
      <c r="K64" s="89">
        <f t="shared" si="45"/>
        <v>13443440.210000001</v>
      </c>
      <c r="O64" s="183">
        <f t="shared" si="5"/>
        <v>3.3663400962088807E-2</v>
      </c>
      <c r="P64" s="184">
        <f t="shared" si="6"/>
        <v>3.4985495971253985E-2</v>
      </c>
      <c r="Q64" s="184">
        <f t="shared" si="7"/>
        <v>3.9327135874646438E-2</v>
      </c>
      <c r="R64" s="185">
        <f t="shared" si="8"/>
        <v>3.543780885236554E-2</v>
      </c>
    </row>
    <row r="65" spans="2:18" s="189" customFormat="1" ht="18" customHeight="1" x14ac:dyDescent="0.2">
      <c r="B65" s="339"/>
      <c r="C65" s="95" t="s">
        <v>42</v>
      </c>
      <c r="D65" s="67">
        <v>235670.56</v>
      </c>
      <c r="E65" s="68">
        <v>135902.20000000001</v>
      </c>
      <c r="F65" s="67">
        <v>124454</v>
      </c>
      <c r="G65" s="68">
        <v>143031</v>
      </c>
      <c r="H65" s="67">
        <v>156770</v>
      </c>
      <c r="I65" s="68">
        <v>158323</v>
      </c>
      <c r="J65" s="88">
        <f t="shared" si="45"/>
        <v>516894.56</v>
      </c>
      <c r="K65" s="89">
        <f t="shared" si="45"/>
        <v>437256.2</v>
      </c>
      <c r="O65" s="183">
        <f t="shared" si="5"/>
        <v>-0.42333823961720118</v>
      </c>
      <c r="P65" s="184">
        <f t="shared" si="6"/>
        <v>0.1492680026355119</v>
      </c>
      <c r="Q65" s="184">
        <f t="shared" si="7"/>
        <v>9.9062320597053007E-3</v>
      </c>
      <c r="R65" s="185">
        <f t="shared" si="8"/>
        <v>-0.15407080314406865</v>
      </c>
    </row>
    <row r="66" spans="2:18" s="192" customFormat="1" ht="18" customHeight="1" x14ac:dyDescent="0.2">
      <c r="B66" s="339"/>
      <c r="C66" s="96" t="s">
        <v>53</v>
      </c>
      <c r="D66" s="190">
        <f>IFERROR(D65/D64,"-")</f>
        <v>3.5399890099727382E-2</v>
      </c>
      <c r="E66" s="191">
        <f>IFERROR(E65/E64,"-")</f>
        <v>1.9748946246201774E-2</v>
      </c>
      <c r="F66" s="190">
        <f t="shared" ref="F66:K66" si="46">IFERROR(F65/F64,"-")</f>
        <v>4.2243959596453322E-2</v>
      </c>
      <c r="G66" s="191">
        <f t="shared" si="46"/>
        <v>4.6908513460153456E-2</v>
      </c>
      <c r="H66" s="190">
        <f t="shared" si="46"/>
        <v>4.6383303549238433E-2</v>
      </c>
      <c r="I66" s="191">
        <f t="shared" si="46"/>
        <v>4.507030144890075E-2</v>
      </c>
      <c r="J66" s="190">
        <f t="shared" si="46"/>
        <v>3.9812143488092144E-2</v>
      </c>
      <c r="K66" s="191">
        <f t="shared" si="46"/>
        <v>3.2525617934815808E-2</v>
      </c>
      <c r="O66" s="183">
        <f t="shared" si="5"/>
        <v>-0.44211843057801292</v>
      </c>
      <c r="P66" s="184">
        <f t="shared" si="6"/>
        <v>0.11041942820368941</v>
      </c>
      <c r="Q66" s="184">
        <f t="shared" si="7"/>
        <v>-2.8307645205647311E-2</v>
      </c>
      <c r="R66" s="185">
        <f t="shared" si="8"/>
        <v>-0.18302268893047027</v>
      </c>
    </row>
    <row r="67" spans="2:18" s="209" customFormat="1" ht="18" customHeight="1" x14ac:dyDescent="0.2">
      <c r="B67" s="339"/>
      <c r="C67" s="99" t="s">
        <v>47</v>
      </c>
      <c r="D67" s="69">
        <v>0</v>
      </c>
      <c r="E67" s="70">
        <v>0</v>
      </c>
      <c r="F67" s="69">
        <v>0</v>
      </c>
      <c r="G67" s="70">
        <v>2859892</v>
      </c>
      <c r="H67" s="69">
        <v>53838</v>
      </c>
      <c r="I67" s="70">
        <v>3072333</v>
      </c>
      <c r="J67" s="92">
        <f>IFERROR(D67+F67+H67,"-")</f>
        <v>53838</v>
      </c>
      <c r="K67" s="93">
        <f t="shared" ref="K67:K68" si="47">IFERROR(E67+G67+I67,"-")</f>
        <v>5932225</v>
      </c>
      <c r="O67" s="183" t="str">
        <f>IFERROR((E67-D67)/D67,"-")</f>
        <v>-</v>
      </c>
      <c r="P67" s="184" t="str">
        <f t="shared" si="6"/>
        <v>-</v>
      </c>
      <c r="Q67" s="184">
        <f t="shared" si="7"/>
        <v>56.066254318511092</v>
      </c>
      <c r="R67" s="185">
        <f t="shared" si="8"/>
        <v>109.18657825327836</v>
      </c>
    </row>
    <row r="68" spans="2:18" s="189" customFormat="1" ht="18" customHeight="1" thickBot="1" x14ac:dyDescent="0.25">
      <c r="B68" s="340"/>
      <c r="C68" s="210" t="s">
        <v>11</v>
      </c>
      <c r="D68" s="71">
        <v>91</v>
      </c>
      <c r="E68" s="72">
        <v>518</v>
      </c>
      <c r="F68" s="71">
        <v>36</v>
      </c>
      <c r="G68" s="72">
        <v>75</v>
      </c>
      <c r="H68" s="71">
        <v>50</v>
      </c>
      <c r="I68" s="72">
        <v>133</v>
      </c>
      <c r="J68" s="211">
        <f t="shared" ref="J68" si="48">IFERROR(D68+F68+H68,"-")</f>
        <v>177</v>
      </c>
      <c r="K68" s="212">
        <f t="shared" si="47"/>
        <v>726</v>
      </c>
      <c r="O68" s="183">
        <f t="shared" ref="O68:O80" si="49">IFERROR((E68-D68)/D68,"-")</f>
        <v>4.6923076923076925</v>
      </c>
      <c r="P68" s="184">
        <f t="shared" si="6"/>
        <v>1.0833333333333333</v>
      </c>
      <c r="Q68" s="184">
        <f t="shared" si="7"/>
        <v>1.66</v>
      </c>
      <c r="R68" s="185">
        <f t="shared" si="8"/>
        <v>3.1016949152542375</v>
      </c>
    </row>
    <row r="69" spans="2:18" s="189" customFormat="1" ht="18" customHeight="1" x14ac:dyDescent="0.2">
      <c r="B69" s="341" t="s">
        <v>95</v>
      </c>
      <c r="C69" s="186" t="s">
        <v>92</v>
      </c>
      <c r="D69" s="77">
        <v>0</v>
      </c>
      <c r="E69" s="169">
        <v>214133</v>
      </c>
      <c r="F69" s="77">
        <v>0</v>
      </c>
      <c r="G69" s="169">
        <v>90516</v>
      </c>
      <c r="H69" s="77">
        <v>0</v>
      </c>
      <c r="I69" s="169">
        <v>115001</v>
      </c>
      <c r="J69" s="187">
        <f t="shared" ref="J69:J71" si="50">IFERROR(D69+F69+H69,"-")</f>
        <v>0</v>
      </c>
      <c r="K69" s="213">
        <f t="shared" ref="K69:K71" si="51">IFERROR(E69+G69+I69,"-")</f>
        <v>419650</v>
      </c>
      <c r="O69" s="183" t="str">
        <f t="shared" ref="O69:O72" si="52">IFERROR((E69-D69)/D69,"-")</f>
        <v>-</v>
      </c>
      <c r="P69" s="184" t="str">
        <f t="shared" ref="P69:P72" si="53">IFERROR((G69-F69)/F69,"-")</f>
        <v>-</v>
      </c>
      <c r="Q69" s="184" t="str">
        <f t="shared" ref="Q69:Q72" si="54">IFERROR((I69-H69)/H69,"-")</f>
        <v>-</v>
      </c>
      <c r="R69" s="185" t="str">
        <f t="shared" ref="R69:R72" si="55">IFERROR((K69-J69)/J69,"-")</f>
        <v>-</v>
      </c>
    </row>
    <row r="70" spans="2:18" s="189" customFormat="1" ht="18" customHeight="1" x14ac:dyDescent="0.2">
      <c r="B70" s="342"/>
      <c r="C70" s="95" t="s">
        <v>93</v>
      </c>
      <c r="D70" s="67">
        <v>0</v>
      </c>
      <c r="E70" s="68">
        <v>16652</v>
      </c>
      <c r="F70" s="67">
        <v>0</v>
      </c>
      <c r="G70" s="68">
        <v>1351</v>
      </c>
      <c r="H70" s="67">
        <v>0</v>
      </c>
      <c r="I70" s="68">
        <v>196</v>
      </c>
      <c r="J70" s="88">
        <f t="shared" si="50"/>
        <v>0</v>
      </c>
      <c r="K70" s="89">
        <f t="shared" si="51"/>
        <v>18199</v>
      </c>
      <c r="O70" s="183" t="str">
        <f t="shared" si="52"/>
        <v>-</v>
      </c>
      <c r="P70" s="184" t="str">
        <f t="shared" si="53"/>
        <v>-</v>
      </c>
      <c r="Q70" s="184" t="str">
        <f t="shared" si="54"/>
        <v>-</v>
      </c>
      <c r="R70" s="185" t="str">
        <f t="shared" si="55"/>
        <v>-</v>
      </c>
    </row>
    <row r="71" spans="2:18" s="189" customFormat="1" ht="18" customHeight="1" x14ac:dyDescent="0.2">
      <c r="B71" s="342"/>
      <c r="C71" s="95" t="s">
        <v>94</v>
      </c>
      <c r="D71" s="67">
        <v>0</v>
      </c>
      <c r="E71" s="68">
        <v>390159838.72999996</v>
      </c>
      <c r="F71" s="67">
        <v>0</v>
      </c>
      <c r="G71" s="68">
        <v>165589456</v>
      </c>
      <c r="H71" s="67">
        <v>0</v>
      </c>
      <c r="I71" s="68">
        <v>209705951</v>
      </c>
      <c r="J71" s="88">
        <f t="shared" si="50"/>
        <v>0</v>
      </c>
      <c r="K71" s="89">
        <f t="shared" si="51"/>
        <v>765455245.73000002</v>
      </c>
      <c r="O71" s="183" t="str">
        <f t="shared" si="52"/>
        <v>-</v>
      </c>
      <c r="P71" s="184" t="str">
        <f t="shared" si="53"/>
        <v>-</v>
      </c>
      <c r="Q71" s="184" t="str">
        <f t="shared" si="54"/>
        <v>-</v>
      </c>
      <c r="R71" s="185" t="str">
        <f t="shared" si="55"/>
        <v>-</v>
      </c>
    </row>
    <row r="72" spans="2:18" s="189" customFormat="1" ht="18" customHeight="1" thickBot="1" x14ac:dyDescent="0.25">
      <c r="B72" s="343"/>
      <c r="C72" s="214" t="s">
        <v>99</v>
      </c>
      <c r="D72" s="215">
        <f>IFERROR(D69/'Hoja de Trabajo RETA'!D45,"-")</f>
        <v>0</v>
      </c>
      <c r="E72" s="216">
        <f>IFERROR(E69/'Hoja de Trabajo RETA'!E45,"-")</f>
        <v>0.44671441177759097</v>
      </c>
      <c r="F72" s="215">
        <f>IFERROR(F69/'Hoja de Trabajo RETA'!F45,"-")</f>
        <v>0</v>
      </c>
      <c r="G72" s="216">
        <f>IFERROR(G69/'Hoja de Trabajo RETA'!G45,"-")</f>
        <v>0.44392131475569024</v>
      </c>
      <c r="H72" s="215">
        <f>IFERROR(H69/'Hoja de Trabajo RETA'!H45,"-")</f>
        <v>0</v>
      </c>
      <c r="I72" s="216">
        <f>IFERROR(I69/'Hoja de Trabajo RETA'!I45,"-")</f>
        <v>0.46921564147340589</v>
      </c>
      <c r="J72" s="215">
        <f>IFERROR(J69/'Hoja de Trabajo RETA'!J45,"-")</f>
        <v>0</v>
      </c>
      <c r="K72" s="216">
        <f>IFERROR(K69/'Hoja de Trabajo RETA'!K45,"-")</f>
        <v>0.45204148462207977</v>
      </c>
      <c r="O72" s="183" t="str">
        <f t="shared" si="52"/>
        <v>-</v>
      </c>
      <c r="P72" s="184" t="str">
        <f t="shared" si="53"/>
        <v>-</v>
      </c>
      <c r="Q72" s="184" t="str">
        <f t="shared" si="54"/>
        <v>-</v>
      </c>
      <c r="R72" s="185" t="str">
        <f t="shared" si="55"/>
        <v>-</v>
      </c>
    </row>
    <row r="73" spans="2:18" ht="18" customHeight="1" x14ac:dyDescent="0.25">
      <c r="B73" s="338" t="s">
        <v>90</v>
      </c>
      <c r="C73" s="94" t="s">
        <v>84</v>
      </c>
      <c r="D73" s="86">
        <f>'Hoja de Trabajo RG'!D62+'Hoja de Trabajo RETA'!D62</f>
        <v>0</v>
      </c>
      <c r="E73" s="87">
        <f>'Hoja de Trabajo RG'!E62+'Hoja de Trabajo RETA'!E62</f>
        <v>102901</v>
      </c>
      <c r="F73" s="86">
        <f>'Hoja de Trabajo RG'!F62+'Hoja de Trabajo RETA'!F62</f>
        <v>0</v>
      </c>
      <c r="G73" s="87">
        <f>'Hoja de Trabajo RG'!G62+'Hoja de Trabajo RETA'!G62</f>
        <v>48465</v>
      </c>
      <c r="H73" s="86">
        <f>'Hoja de Trabajo RG'!H62+'Hoja de Trabajo RETA'!H62</f>
        <v>0</v>
      </c>
      <c r="I73" s="87">
        <f>'Hoja de Trabajo RG'!I62+'Hoja de Trabajo RETA'!I62</f>
        <v>56321</v>
      </c>
      <c r="J73" s="86">
        <f t="shared" ref="J73:J75" si="56">IFERROR(D73+F73+H73,"-")</f>
        <v>0</v>
      </c>
      <c r="K73" s="87">
        <f t="shared" ref="K73:K75" si="57">IFERROR(E73+G73+I73,"-")</f>
        <v>207687</v>
      </c>
      <c r="O73" s="183" t="str">
        <f t="shared" si="49"/>
        <v>-</v>
      </c>
      <c r="P73" s="184" t="str">
        <f t="shared" si="6"/>
        <v>-</v>
      </c>
      <c r="Q73" s="184" t="str">
        <f t="shared" si="7"/>
        <v>-</v>
      </c>
      <c r="R73" s="185" t="str">
        <f t="shared" si="8"/>
        <v>-</v>
      </c>
    </row>
    <row r="74" spans="2:18" ht="18" customHeight="1" x14ac:dyDescent="0.25">
      <c r="B74" s="339"/>
      <c r="C74" s="95" t="s">
        <v>85</v>
      </c>
      <c r="D74" s="88">
        <f>'Hoja de Trabajo RG'!D63+'Hoja de Trabajo RETA'!D63</f>
        <v>0</v>
      </c>
      <c r="E74" s="89">
        <f>'Hoja de Trabajo RG'!E63+'Hoja de Trabajo RETA'!E63</f>
        <v>1923276</v>
      </c>
      <c r="F74" s="88">
        <f>'Hoja de Trabajo RG'!F63+'Hoja de Trabajo RETA'!F63</f>
        <v>0</v>
      </c>
      <c r="G74" s="89">
        <f>'Hoja de Trabajo RG'!G63+'Hoja de Trabajo RETA'!G63</f>
        <v>903436</v>
      </c>
      <c r="H74" s="88">
        <f>'Hoja de Trabajo RG'!H63+'Hoja de Trabajo RETA'!H63</f>
        <v>0</v>
      </c>
      <c r="I74" s="89">
        <f>'Hoja de Trabajo RG'!I63+'Hoja de Trabajo RETA'!I63</f>
        <v>986645</v>
      </c>
      <c r="J74" s="88">
        <f t="shared" si="56"/>
        <v>0</v>
      </c>
      <c r="K74" s="89">
        <f t="shared" si="57"/>
        <v>3813357</v>
      </c>
      <c r="O74" s="183" t="str">
        <f t="shared" si="49"/>
        <v>-</v>
      </c>
      <c r="P74" s="184" t="str">
        <f t="shared" si="6"/>
        <v>-</v>
      </c>
      <c r="Q74" s="184" t="str">
        <f t="shared" si="7"/>
        <v>-</v>
      </c>
      <c r="R74" s="185" t="str">
        <f t="shared" si="8"/>
        <v>-</v>
      </c>
    </row>
    <row r="75" spans="2:18" ht="18" customHeight="1" x14ac:dyDescent="0.25">
      <c r="B75" s="339"/>
      <c r="C75" s="95" t="s">
        <v>86</v>
      </c>
      <c r="D75" s="88">
        <f>'Hoja de Trabajo RG'!D64+'Hoja de Trabajo RETA'!D64</f>
        <v>0</v>
      </c>
      <c r="E75" s="89">
        <f>'Hoja de Trabajo RG'!E64+'Hoja de Trabajo RETA'!E64</f>
        <v>84546</v>
      </c>
      <c r="F75" s="88">
        <f>'Hoja de Trabajo RG'!F64+'Hoja de Trabajo RETA'!F64</f>
        <v>0</v>
      </c>
      <c r="G75" s="89">
        <f>'Hoja de Trabajo RG'!G64+'Hoja de Trabajo RETA'!G64</f>
        <v>39678</v>
      </c>
      <c r="H75" s="88">
        <f>'Hoja de Trabajo RG'!H64+'Hoja de Trabajo RETA'!H64</f>
        <v>0</v>
      </c>
      <c r="I75" s="89">
        <f>'Hoja de Trabajo RG'!I64+'Hoja de Trabajo RETA'!I64</f>
        <v>46999</v>
      </c>
      <c r="J75" s="88">
        <f t="shared" si="56"/>
        <v>0</v>
      </c>
      <c r="K75" s="89">
        <f t="shared" si="57"/>
        <v>171223</v>
      </c>
      <c r="O75" s="183" t="str">
        <f t="shared" si="49"/>
        <v>-</v>
      </c>
      <c r="P75" s="184" t="str">
        <f t="shared" si="6"/>
        <v>-</v>
      </c>
      <c r="Q75" s="184" t="str">
        <f t="shared" si="7"/>
        <v>-</v>
      </c>
      <c r="R75" s="185" t="str">
        <f t="shared" si="8"/>
        <v>-</v>
      </c>
    </row>
    <row r="76" spans="2:18" ht="18" customHeight="1" x14ac:dyDescent="0.25">
      <c r="B76" s="339"/>
      <c r="C76" s="96" t="s">
        <v>20</v>
      </c>
      <c r="D76" s="164" t="str">
        <f>IFERROR(D74/D75,"-")</f>
        <v>-</v>
      </c>
      <c r="E76" s="165">
        <f t="shared" ref="E76:K76" si="58">IFERROR(E74/E75,"-")</f>
        <v>22.748279043361009</v>
      </c>
      <c r="F76" s="164" t="str">
        <f t="shared" si="58"/>
        <v>-</v>
      </c>
      <c r="G76" s="165">
        <f t="shared" si="58"/>
        <v>22.769191995564292</v>
      </c>
      <c r="H76" s="164" t="str">
        <f t="shared" si="58"/>
        <v>-</v>
      </c>
      <c r="I76" s="165">
        <f t="shared" si="58"/>
        <v>20.992893465818423</v>
      </c>
      <c r="J76" s="164" t="str">
        <f t="shared" si="58"/>
        <v>-</v>
      </c>
      <c r="K76" s="165">
        <f t="shared" si="58"/>
        <v>22.271289487977665</v>
      </c>
      <c r="O76" s="183" t="str">
        <f t="shared" si="49"/>
        <v>-</v>
      </c>
      <c r="P76" s="184" t="str">
        <f t="shared" si="6"/>
        <v>-</v>
      </c>
      <c r="Q76" s="184" t="str">
        <f t="shared" si="7"/>
        <v>-</v>
      </c>
      <c r="R76" s="185" t="str">
        <f t="shared" si="8"/>
        <v>-</v>
      </c>
    </row>
    <row r="77" spans="2:18" ht="18" customHeight="1" x14ac:dyDescent="0.25">
      <c r="B77" s="339"/>
      <c r="C77" s="97" t="s">
        <v>91</v>
      </c>
      <c r="D77" s="90">
        <f>'Hoja de Trabajo RG'!D66+'Hoja de Trabajo RETA'!D66</f>
        <v>0</v>
      </c>
      <c r="E77" s="91">
        <f>'Hoja de Trabajo RG'!E66+'Hoja de Trabajo RETA'!E66</f>
        <v>18354</v>
      </c>
      <c r="F77" s="90">
        <f>'Hoja de Trabajo RG'!F66+'Hoja de Trabajo RETA'!F66</f>
        <v>0</v>
      </c>
      <c r="G77" s="91">
        <f>'Hoja de Trabajo RG'!G66+'Hoja de Trabajo RETA'!G66</f>
        <v>10224</v>
      </c>
      <c r="H77" s="90">
        <f>'Hoja de Trabajo RG'!H66+'Hoja de Trabajo RETA'!H66</f>
        <v>0</v>
      </c>
      <c r="I77" s="91">
        <f>'Hoja de Trabajo RG'!I66+'Hoja de Trabajo RETA'!I66</f>
        <v>9322</v>
      </c>
      <c r="J77" s="90">
        <f t="shared" ref="J77" si="59">IFERROR(D77+F77+H77,"-")</f>
        <v>0</v>
      </c>
      <c r="K77" s="91">
        <f t="shared" ref="K77" si="60">IFERROR(E77+G77+I77,"-")</f>
        <v>37900</v>
      </c>
      <c r="O77" s="183" t="str">
        <f t="shared" si="49"/>
        <v>-</v>
      </c>
      <c r="P77" s="184" t="str">
        <f t="shared" si="6"/>
        <v>-</v>
      </c>
      <c r="Q77" s="184" t="str">
        <f t="shared" si="7"/>
        <v>-</v>
      </c>
      <c r="R77" s="185" t="str">
        <f t="shared" si="8"/>
        <v>-</v>
      </c>
    </row>
    <row r="78" spans="2:18" ht="18" customHeight="1" x14ac:dyDescent="0.25">
      <c r="B78" s="339"/>
      <c r="C78" s="98" t="s">
        <v>87</v>
      </c>
      <c r="D78" s="164">
        <f t="shared" ref="D78:K78" si="61">IFERROR((D73*100)/D17,"-")</f>
        <v>0</v>
      </c>
      <c r="E78" s="165">
        <f t="shared" si="61"/>
        <v>3.7703474035419671</v>
      </c>
      <c r="F78" s="164">
        <f t="shared" si="61"/>
        <v>0</v>
      </c>
      <c r="G78" s="165">
        <f t="shared" si="61"/>
        <v>3.4168396295586061</v>
      </c>
      <c r="H78" s="164">
        <f t="shared" si="61"/>
        <v>0</v>
      </c>
      <c r="I78" s="165">
        <f t="shared" si="61"/>
        <v>3.9551458469248093</v>
      </c>
      <c r="J78" s="164">
        <f t="shared" si="61"/>
        <v>0</v>
      </c>
      <c r="K78" s="165">
        <f t="shared" si="61"/>
        <v>3.7275826253264981</v>
      </c>
      <c r="O78" s="183" t="str">
        <f t="shared" si="49"/>
        <v>-</v>
      </c>
      <c r="P78" s="184" t="str">
        <f t="shared" si="6"/>
        <v>-</v>
      </c>
      <c r="Q78" s="184" t="str">
        <f t="shared" si="7"/>
        <v>-</v>
      </c>
      <c r="R78" s="185" t="str">
        <f t="shared" si="8"/>
        <v>-</v>
      </c>
    </row>
    <row r="79" spans="2:18" ht="18" customHeight="1" x14ac:dyDescent="0.25">
      <c r="B79" s="339"/>
      <c r="C79" s="99" t="s">
        <v>89</v>
      </c>
      <c r="D79" s="92">
        <f>'Hoja de Trabajo RG'!D68+'Hoja de Trabajo RETA'!D68</f>
        <v>0</v>
      </c>
      <c r="E79" s="93">
        <f>'Hoja de Trabajo RG'!E68+'Hoja de Trabajo RETA'!E68</f>
        <v>0</v>
      </c>
      <c r="F79" s="92">
        <f>'Hoja de Trabajo RG'!F68+'Hoja de Trabajo RETA'!F68</f>
        <v>0</v>
      </c>
      <c r="G79" s="93">
        <f>'Hoja de Trabajo RG'!G68+'Hoja de Trabajo RETA'!G68</f>
        <v>0</v>
      </c>
      <c r="H79" s="92">
        <f>'Hoja de Trabajo RG'!H68+'Hoja de Trabajo RETA'!H68</f>
        <v>0</v>
      </c>
      <c r="I79" s="93">
        <f>'Hoja de Trabajo RG'!I68+'Hoja de Trabajo RETA'!I68</f>
        <v>0</v>
      </c>
      <c r="J79" s="92">
        <f t="shared" ref="J79" si="62">IFERROR(D79+F79+H79,"-")</f>
        <v>0</v>
      </c>
      <c r="K79" s="93">
        <f t="shared" ref="K79" si="63">IFERROR(E79+G79+I79,"-")</f>
        <v>0</v>
      </c>
      <c r="O79" s="183" t="str">
        <f t="shared" si="49"/>
        <v>-</v>
      </c>
      <c r="P79" s="184" t="str">
        <f t="shared" si="6"/>
        <v>-</v>
      </c>
      <c r="Q79" s="184" t="str">
        <f t="shared" si="7"/>
        <v>-</v>
      </c>
      <c r="R79" s="185" t="str">
        <f t="shared" si="8"/>
        <v>-</v>
      </c>
    </row>
    <row r="80" spans="2:18" ht="18" customHeight="1" thickBot="1" x14ac:dyDescent="0.3">
      <c r="B80" s="340"/>
      <c r="C80" s="100" t="s">
        <v>88</v>
      </c>
      <c r="D80" s="167">
        <f t="shared" ref="D80:K80" si="64">IFERROR(D79/D18,"-")</f>
        <v>0</v>
      </c>
      <c r="E80" s="168">
        <f t="shared" si="64"/>
        <v>0</v>
      </c>
      <c r="F80" s="167">
        <f t="shared" si="64"/>
        <v>0</v>
      </c>
      <c r="G80" s="168">
        <f t="shared" si="64"/>
        <v>0</v>
      </c>
      <c r="H80" s="167">
        <f t="shared" si="64"/>
        <v>0</v>
      </c>
      <c r="I80" s="168">
        <f t="shared" si="64"/>
        <v>0</v>
      </c>
      <c r="J80" s="167">
        <f t="shared" si="64"/>
        <v>0</v>
      </c>
      <c r="K80" s="168">
        <f t="shared" si="64"/>
        <v>0</v>
      </c>
      <c r="O80" s="217" t="str">
        <f t="shared" si="49"/>
        <v>-</v>
      </c>
      <c r="P80" s="218" t="str">
        <f t="shared" si="6"/>
        <v>-</v>
      </c>
      <c r="Q80" s="218" t="str">
        <f t="shared" si="7"/>
        <v>-</v>
      </c>
      <c r="R80" s="219" t="str">
        <f t="shared" si="8"/>
        <v>-</v>
      </c>
    </row>
    <row r="82" spans="2:5" x14ac:dyDescent="0.25">
      <c r="C82" s="153" t="s">
        <v>43</v>
      </c>
    </row>
    <row r="83" spans="2:5" ht="15.75" x14ac:dyDescent="0.25">
      <c r="C83" s="228" t="s">
        <v>96</v>
      </c>
    </row>
    <row r="84" spans="2:5" ht="15.75" thickBot="1" x14ac:dyDescent="0.3"/>
    <row r="85" spans="2:5" ht="19.5" customHeight="1" thickBot="1" x14ac:dyDescent="0.3">
      <c r="B85" s="108"/>
      <c r="C85" s="220" t="s">
        <v>58</v>
      </c>
      <c r="D85" s="221">
        <v>2019</v>
      </c>
      <c r="E85" s="222">
        <v>2020</v>
      </c>
    </row>
    <row r="86" spans="2:5" x14ac:dyDescent="0.25">
      <c r="C86" s="223" t="s">
        <v>60</v>
      </c>
      <c r="D86" s="73">
        <v>16150558.560000002</v>
      </c>
      <c r="E86" s="74">
        <v>15321532.15</v>
      </c>
    </row>
    <row r="87" spans="2:5" ht="15.75" thickBot="1" x14ac:dyDescent="0.3">
      <c r="C87" s="224" t="s">
        <v>61</v>
      </c>
      <c r="D87" s="75">
        <v>3291554.85</v>
      </c>
      <c r="E87" s="76">
        <v>3234596.7</v>
      </c>
    </row>
    <row r="88" spans="2:5" ht="19.5" customHeight="1" thickTop="1" thickBot="1" x14ac:dyDescent="0.3">
      <c r="C88" s="225" t="s">
        <v>62</v>
      </c>
      <c r="D88" s="226">
        <f>SUM(D86:D87)</f>
        <v>19442113.410000004</v>
      </c>
      <c r="E88" s="227">
        <f>SUM(E86:E87)</f>
        <v>18556128.850000001</v>
      </c>
    </row>
  </sheetData>
  <sheetProtection password="A490" sheet="1" objects="1" scenarios="1"/>
  <mergeCells count="13">
    <mergeCell ref="B73:B80"/>
    <mergeCell ref="B17:B45"/>
    <mergeCell ref="B46:B62"/>
    <mergeCell ref="B63:B68"/>
    <mergeCell ref="H5:I5"/>
    <mergeCell ref="B69:B72"/>
    <mergeCell ref="J5:K5"/>
    <mergeCell ref="H7:I7"/>
    <mergeCell ref="J7:K7"/>
    <mergeCell ref="D9:E14"/>
    <mergeCell ref="F9:G14"/>
    <mergeCell ref="H9:I14"/>
    <mergeCell ref="J9:K14"/>
  </mergeCells>
  <pageMargins left="0.24" right="0.24" top="0.3" bottom="0.3" header="0.31496062992125984" footer="0.31496062992125984"/>
  <pageSetup paperSize="9" scale="64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L48"/>
  <sheetViews>
    <sheetView zoomScaleNormal="100" workbookViewId="0">
      <pane ySplit="15" topLeftCell="A16" activePane="bottomLeft" state="frozen"/>
      <selection activeCell="D51" sqref="D51"/>
      <selection pane="bottomLeft" activeCell="C15" sqref="C15"/>
    </sheetView>
  </sheetViews>
  <sheetFormatPr baseColWidth="10" defaultColWidth="11.42578125" defaultRowHeight="15" x14ac:dyDescent="0.25"/>
  <cols>
    <col min="1" max="1" width="2.85546875" style="108" customWidth="1"/>
    <col min="2" max="2" width="12" style="107" customWidth="1"/>
    <col min="3" max="3" width="47.28515625" style="108" bestFit="1" customWidth="1"/>
    <col min="4" max="4" width="13.7109375" style="108" customWidth="1"/>
    <col min="5" max="5" width="9.28515625" style="108" customWidth="1"/>
    <col min="6" max="6" width="13.7109375" style="108" customWidth="1"/>
    <col min="7" max="7" width="9.28515625" style="108" customWidth="1"/>
    <col min="8" max="8" width="13.7109375" style="108" customWidth="1"/>
    <col min="9" max="9" width="9.28515625" style="108" customWidth="1"/>
    <col min="10" max="10" width="13.7109375" style="108" customWidth="1"/>
    <col min="11" max="11" width="9.28515625" style="108" customWidth="1"/>
    <col min="12" max="16384" width="11.42578125" style="108"/>
  </cols>
  <sheetData>
    <row r="1" spans="2:12" ht="9.75" customHeight="1" x14ac:dyDescent="0.25"/>
    <row r="2" spans="2:12" s="113" customFormat="1" ht="48" customHeight="1" thickBot="1" x14ac:dyDescent="0.3">
      <c r="B2" s="109" t="s">
        <v>63</v>
      </c>
      <c r="C2" s="110"/>
      <c r="D2" s="111"/>
      <c r="E2" s="112" t="s">
        <v>64</v>
      </c>
      <c r="F2" s="110"/>
      <c r="G2" s="110"/>
      <c r="H2" s="110"/>
      <c r="I2" s="110"/>
      <c r="J2" s="110"/>
      <c r="K2" s="110"/>
    </row>
    <row r="3" spans="2:12" ht="9.1999999999999993" customHeight="1" thickTop="1" x14ac:dyDescent="0.25">
      <c r="L3" s="114"/>
    </row>
    <row r="4" spans="2:12" s="114" customFormat="1" ht="21.75" customHeight="1" x14ac:dyDescent="0.2">
      <c r="C4" s="115"/>
    </row>
    <row r="5" spans="2:12" s="114" customFormat="1" ht="28.7" x14ac:dyDescent="0.45">
      <c r="B5" s="116" t="s">
        <v>60</v>
      </c>
      <c r="C5" s="115"/>
      <c r="H5" s="313" t="s">
        <v>12</v>
      </c>
      <c r="I5" s="313"/>
      <c r="J5" s="312" t="str">
        <f>'Hoja de Trabajo RG'!J5:K5</f>
        <v>Mayo</v>
      </c>
      <c r="K5" s="312"/>
    </row>
    <row r="6" spans="2:12" s="114" customFormat="1" ht="5.25" customHeight="1" x14ac:dyDescent="0.2">
      <c r="B6" s="115"/>
      <c r="C6" s="115"/>
      <c r="H6" s="117"/>
      <c r="I6" s="117"/>
      <c r="J6" s="118"/>
      <c r="K6" s="118"/>
    </row>
    <row r="7" spans="2:12" s="114" customFormat="1" ht="18.75" x14ac:dyDescent="0.2">
      <c r="B7" s="115"/>
      <c r="C7" s="115"/>
      <c r="H7" s="313" t="s">
        <v>32</v>
      </c>
      <c r="I7" s="313"/>
      <c r="J7" s="312" t="str">
        <f>'Hoja de Trabajo RG'!J7:K7</f>
        <v>Febrero</v>
      </c>
      <c r="K7" s="312"/>
    </row>
    <row r="8" spans="2:12" ht="14.25" customHeight="1" thickBot="1" x14ac:dyDescent="0.4">
      <c r="B8" s="119"/>
    </row>
    <row r="9" spans="2:12" x14ac:dyDescent="0.25">
      <c r="D9" s="314"/>
      <c r="E9" s="315"/>
      <c r="F9" s="320"/>
      <c r="G9" s="321"/>
      <c r="H9" s="326"/>
      <c r="I9" s="327"/>
      <c r="J9" s="332"/>
      <c r="K9" s="333"/>
    </row>
    <row r="10" spans="2:12" x14ac:dyDescent="0.25">
      <c r="D10" s="316"/>
      <c r="E10" s="317"/>
      <c r="F10" s="322"/>
      <c r="G10" s="323"/>
      <c r="H10" s="328"/>
      <c r="I10" s="329"/>
      <c r="J10" s="334"/>
      <c r="K10" s="335"/>
    </row>
    <row r="11" spans="2:12" x14ac:dyDescent="0.25">
      <c r="D11" s="316"/>
      <c r="E11" s="317"/>
      <c r="F11" s="322"/>
      <c r="G11" s="323"/>
      <c r="H11" s="328"/>
      <c r="I11" s="329"/>
      <c r="J11" s="334"/>
      <c r="K11" s="335"/>
    </row>
    <row r="12" spans="2:12" x14ac:dyDescent="0.25">
      <c r="D12" s="316"/>
      <c r="E12" s="317"/>
      <c r="F12" s="322"/>
      <c r="G12" s="323"/>
      <c r="H12" s="328"/>
      <c r="I12" s="329"/>
      <c r="J12" s="334"/>
      <c r="K12" s="335"/>
    </row>
    <row r="13" spans="2:12" x14ac:dyDescent="0.25">
      <c r="D13" s="316"/>
      <c r="E13" s="317"/>
      <c r="F13" s="322"/>
      <c r="G13" s="323"/>
      <c r="H13" s="328"/>
      <c r="I13" s="329"/>
      <c r="J13" s="334"/>
      <c r="K13" s="335"/>
    </row>
    <row r="14" spans="2:12" ht="15.75" thickBot="1" x14ac:dyDescent="0.3">
      <c r="D14" s="318"/>
      <c r="E14" s="319"/>
      <c r="F14" s="324"/>
      <c r="G14" s="325"/>
      <c r="H14" s="330"/>
      <c r="I14" s="331"/>
      <c r="J14" s="336"/>
      <c r="K14" s="337"/>
    </row>
    <row r="15" spans="2:12" s="126" customFormat="1" ht="28.7" customHeight="1" thickBot="1" x14ac:dyDescent="0.3">
      <c r="B15" s="120"/>
      <c r="C15" s="159" t="s">
        <v>0</v>
      </c>
      <c r="D15" s="160">
        <v>2020</v>
      </c>
      <c r="E15" s="161" t="s">
        <v>1</v>
      </c>
      <c r="F15" s="162">
        <v>2020</v>
      </c>
      <c r="G15" s="163" t="s">
        <v>1</v>
      </c>
      <c r="H15" s="162">
        <v>2020</v>
      </c>
      <c r="I15" s="163" t="s">
        <v>1</v>
      </c>
      <c r="J15" s="160">
        <v>2020</v>
      </c>
      <c r="K15" s="163" t="s">
        <v>1</v>
      </c>
    </row>
    <row r="16" spans="2:12" ht="21" customHeight="1" thickTop="1" x14ac:dyDescent="0.25">
      <c r="B16" s="273" t="s">
        <v>9</v>
      </c>
      <c r="C16" s="130" t="s">
        <v>2</v>
      </c>
      <c r="D16" s="131">
        <f>IF('Hoja de Trabajo RG'!E16="","-",'Hoja de Trabajo RG'!E16)</f>
        <v>2253009</v>
      </c>
      <c r="E16" s="132">
        <f>'Hoja de Trabajo RG'!O16</f>
        <v>-8.7406540191043824E-4</v>
      </c>
      <c r="F16" s="131">
        <f>IF('Hoja de Trabajo RG'!G16="","-",'Hoja de Trabajo RG'!G16)</f>
        <v>1213466</v>
      </c>
      <c r="G16" s="132">
        <f>'Hoja de Trabajo RG'!P16</f>
        <v>-3.1724575973648764E-2</v>
      </c>
      <c r="H16" s="131">
        <f>IF('Hoja de Trabajo RG'!I16="","-",'Hoja de Trabajo RG'!I16)</f>
        <v>1179028</v>
      </c>
      <c r="I16" s="132">
        <f>'Hoja de Trabajo RG'!Q16</f>
        <v>-1.8769437932191005E-2</v>
      </c>
      <c r="J16" s="131">
        <f>IF('Hoja de Trabajo RG'!K16=0,"-",'Hoja de Trabajo RG'!K16)</f>
        <v>4645503</v>
      </c>
      <c r="K16" s="132">
        <f>'Hoja de Trabajo RG'!R16</f>
        <v>-1.3648606040403119E-2</v>
      </c>
    </row>
    <row r="17" spans="2:11" s="135" customFormat="1" ht="21" customHeight="1" x14ac:dyDescent="0.25">
      <c r="B17" s="274"/>
      <c r="C17" s="102" t="s">
        <v>35</v>
      </c>
      <c r="D17" s="133">
        <f>IF('Hoja de Trabajo RG'!E17="","-",'Hoja de Trabajo RG'!E17)</f>
        <v>217388648.46000001</v>
      </c>
      <c r="E17" s="134">
        <f>'Hoja de Trabajo RG'!O17</f>
        <v>9.6217417872148367E-2</v>
      </c>
      <c r="F17" s="133">
        <f>IF('Hoja de Trabajo RG'!G17="","-",'Hoja de Trabajo RG'!G17)</f>
        <v>115636118</v>
      </c>
      <c r="G17" s="134">
        <f>'Hoja de Trabajo RG'!P17</f>
        <v>9.3266331114784107E-2</v>
      </c>
      <c r="H17" s="133">
        <f>IF('Hoja de Trabajo RG'!I17="","-",'Hoja de Trabajo RG'!I17)</f>
        <v>105251285</v>
      </c>
      <c r="I17" s="134">
        <f>'Hoja de Trabajo RG'!Q17</f>
        <v>7.8659999860621402E-2</v>
      </c>
      <c r="J17" s="133">
        <f>IF('Hoja de Trabajo RG'!K17=0,"-",'Hoja de Trabajo RG'!K17)</f>
        <v>438276051.46000004</v>
      </c>
      <c r="K17" s="134">
        <f>'Hoja de Trabajo RG'!R17</f>
        <v>9.1174977941466215E-2</v>
      </c>
    </row>
    <row r="18" spans="2:11" s="137" customFormat="1" ht="21" customHeight="1" x14ac:dyDescent="0.25">
      <c r="B18" s="274"/>
      <c r="C18" s="105" t="s">
        <v>48</v>
      </c>
      <c r="D18" s="136">
        <f>'Hoja de Trabajo RG'!E19</f>
        <v>0.12604644085195579</v>
      </c>
      <c r="E18" s="134">
        <f>'Hoja de Trabajo RG'!O19</f>
        <v>-6.8036931117334984E-2</v>
      </c>
      <c r="F18" s="136">
        <f>'Hoja de Trabajo RG'!G19</f>
        <v>0.11802493231396785</v>
      </c>
      <c r="G18" s="134">
        <f>'Hoja de Trabajo RG'!P19</f>
        <v>-1.6343588555885493E-2</v>
      </c>
      <c r="H18" s="136">
        <f>'Hoja de Trabajo RG'!I19</f>
        <v>0.12133371103260164</v>
      </c>
      <c r="I18" s="134">
        <f>'Hoja de Trabajo RG'!Q19</f>
        <v>3.170302075106065E-2</v>
      </c>
      <c r="J18" s="136">
        <f>'Hoja de Trabajo RG'!K19</f>
        <v>0.12279826661921071</v>
      </c>
      <c r="K18" s="134">
        <f>'Hoja de Trabajo RG'!R19</f>
        <v>-3.265065107253836E-2</v>
      </c>
    </row>
    <row r="19" spans="2:11" s="137" customFormat="1" ht="21" customHeight="1" x14ac:dyDescent="0.25">
      <c r="B19" s="274"/>
      <c r="C19" s="105" t="s">
        <v>49</v>
      </c>
      <c r="D19" s="136">
        <f>'Hoja de Trabajo RG'!E21</f>
        <v>0.18176192860074972</v>
      </c>
      <c r="E19" s="134">
        <f>'Hoja de Trabajo RG'!O21</f>
        <v>-5.0439706911049903E-2</v>
      </c>
      <c r="F19" s="136">
        <f>'Hoja de Trabajo RG'!G21</f>
        <v>0.23841933192534187</v>
      </c>
      <c r="G19" s="134">
        <f>'Hoja de Trabajo RG'!P21</f>
        <v>0.51720337310431197</v>
      </c>
      <c r="H19" s="136">
        <f>'Hoja de Trabajo RG'!I21</f>
        <v>0.14444691102821214</v>
      </c>
      <c r="I19" s="134">
        <f>'Hoja de Trabajo RG'!Q21</f>
        <v>1.5889517746256159</v>
      </c>
      <c r="J19" s="136">
        <f>'Hoja de Trabajo RG'!K21</f>
        <v>0.18774945317200378</v>
      </c>
      <c r="K19" s="134">
        <f>'Hoja de Trabajo RG'!R21</f>
        <v>0.25632033471487575</v>
      </c>
    </row>
    <row r="20" spans="2:11" s="137" customFormat="1" ht="21" customHeight="1" x14ac:dyDescent="0.25">
      <c r="B20" s="274"/>
      <c r="C20" s="105" t="s">
        <v>34</v>
      </c>
      <c r="D20" s="136">
        <f>'Hoja de Trabajo RG'!E24</f>
        <v>0.17830145270492342</v>
      </c>
      <c r="E20" s="134">
        <f>'Hoja de Trabajo RG'!O24</f>
        <v>9.3591047081173537E-2</v>
      </c>
      <c r="F20" s="136">
        <f>'Hoja de Trabajo RG'!G24</f>
        <v>0.25028779382821492</v>
      </c>
      <c r="G20" s="134">
        <f>'Hoja de Trabajo RG'!P24</f>
        <v>5.7829778911140918E-2</v>
      </c>
      <c r="H20" s="136">
        <f>'Hoja de Trabajo RG'!I24</f>
        <v>0.16240564889213538</v>
      </c>
      <c r="I20" s="134">
        <f>'Hoja de Trabajo RG'!Q24</f>
        <v>-9.109132008573162E-2</v>
      </c>
      <c r="J20" s="136">
        <f>'Hoja de Trabajo RG'!K24</f>
        <v>0.18913134098634002</v>
      </c>
      <c r="K20" s="134">
        <f>'Hoja de Trabajo RG'!R24</f>
        <v>2.8861573764765464E-2</v>
      </c>
    </row>
    <row r="21" spans="2:11" s="137" customFormat="1" ht="21" customHeight="1" x14ac:dyDescent="0.25">
      <c r="B21" s="274"/>
      <c r="C21" s="105" t="s">
        <v>8</v>
      </c>
      <c r="D21" s="136">
        <f>'Hoja de Trabajo RG'!E27</f>
        <v>0.47442181683426821</v>
      </c>
      <c r="E21" s="134">
        <f>'Hoja de Trabajo RG'!O27</f>
        <v>-3.1380584510846368E-2</v>
      </c>
      <c r="F21" s="136">
        <f>'Hoja de Trabajo RG'!G27</f>
        <v>0.49429807314195834</v>
      </c>
      <c r="G21" s="134">
        <f>'Hoja de Trabajo RG'!P27</f>
        <v>2.3666091520845527E-2</v>
      </c>
      <c r="H21" s="136">
        <f>'Hoja de Trabajo RG'!I27</f>
        <v>0.51973514211886307</v>
      </c>
      <c r="I21" s="134">
        <f>'Hoja de Trabajo RG'!Q27</f>
        <v>1.9769463441612622E-2</v>
      </c>
      <c r="J21" s="136">
        <f>'Hoja de Trabajo RG'!K27</f>
        <v>0.49090767728949436</v>
      </c>
      <c r="K21" s="134">
        <f>'Hoja de Trabajo RG'!R27</f>
        <v>-5.1677485342862166E-3</v>
      </c>
    </row>
    <row r="22" spans="2:11" ht="21" customHeight="1" x14ac:dyDescent="0.25">
      <c r="B22" s="274"/>
      <c r="C22" s="138" t="s">
        <v>19</v>
      </c>
      <c r="D22" s="139">
        <f>'Hoja de Trabajo RG'!E28</f>
        <v>3.0002543265472976</v>
      </c>
      <c r="E22" s="134">
        <f>'Hoja de Trabajo RG'!O28</f>
        <v>-0.31162512298462131</v>
      </c>
      <c r="F22" s="139">
        <f>'Hoja de Trabajo RG'!G28</f>
        <v>2.4861017943642425</v>
      </c>
      <c r="G22" s="134">
        <f>'Hoja de Trabajo RG'!P28</f>
        <v>-0.31367467725342907</v>
      </c>
      <c r="H22" s="139">
        <f>'Hoja de Trabajo RG'!I28</f>
        <v>3.2754438401802162</v>
      </c>
      <c r="I22" s="134">
        <f>'Hoja de Trabajo RG'!Q28</f>
        <v>-0.27720397623420895</v>
      </c>
      <c r="J22" s="139">
        <f>'Hoja de Trabajo RG'!K28</f>
        <v>2.9357940356512522</v>
      </c>
      <c r="K22" s="134">
        <f>'Hoja de Trabajo RG'!R28</f>
        <v>-0.30212554246312845</v>
      </c>
    </row>
    <row r="23" spans="2:11" ht="21" customHeight="1" x14ac:dyDescent="0.25">
      <c r="B23" s="274"/>
      <c r="C23" s="138" t="s">
        <v>20</v>
      </c>
      <c r="D23" s="139">
        <f>'Hoja de Trabajo RG'!E31</f>
        <v>47.25</v>
      </c>
      <c r="E23" s="134">
        <f>'Hoja de Trabajo RG'!O31</f>
        <v>0.17158442846516245</v>
      </c>
      <c r="F23" s="139">
        <f>'Hoja de Trabajo RG'!G31</f>
        <v>44.774722809716081</v>
      </c>
      <c r="G23" s="134">
        <f>'Hoja de Trabajo RG'!P31</f>
        <v>0.20514878379653606</v>
      </c>
      <c r="H23" s="139">
        <f>'Hoja de Trabajo RG'!I31</f>
        <v>38.95621301775148</v>
      </c>
      <c r="I23" s="134">
        <f>'Hoja de Trabajo RG'!Q31</f>
        <v>0.11273944509828213</v>
      </c>
      <c r="J23" s="139">
        <f>'Hoja de Trabajo RG'!K31</f>
        <v>44.321422136316727</v>
      </c>
      <c r="K23" s="134">
        <f>'Hoja de Trabajo RG'!R31</f>
        <v>0.16355930929946047</v>
      </c>
    </row>
    <row r="24" spans="2:11" ht="21" customHeight="1" x14ac:dyDescent="0.25">
      <c r="B24" s="274"/>
      <c r="C24" s="138" t="s">
        <v>30</v>
      </c>
      <c r="D24" s="139">
        <f>'Hoja de Trabajo RG'!E33</f>
        <v>1.5048973173209692</v>
      </c>
      <c r="E24" s="134">
        <f>'Hoja de Trabajo RG'!O33</f>
        <v>-7.8715239558495451E-2</v>
      </c>
      <c r="F24" s="139">
        <f>'Hoja de Trabajo RG'!G33</f>
        <v>1.3474078383737162</v>
      </c>
      <c r="G24" s="134">
        <f>'Hoja de Trabajo RG'!P33</f>
        <v>-9.5194456748152453E-2</v>
      </c>
      <c r="H24" s="139">
        <f>'Hoja de Trabajo RG'!I33</f>
        <v>1.4721828489230111</v>
      </c>
      <c r="I24" s="134">
        <f>'Hoja de Trabajo RG'!Q33</f>
        <v>4.4485764449385817E-2</v>
      </c>
      <c r="J24" s="139">
        <f>'Hoja de Trabajo RG'!K33</f>
        <v>1.4554560830118934</v>
      </c>
      <c r="K24" s="134">
        <f>'Hoja de Trabajo RG'!R33</f>
        <v>-5.3627247541326438E-2</v>
      </c>
    </row>
    <row r="25" spans="2:11" ht="21" customHeight="1" x14ac:dyDescent="0.25">
      <c r="B25" s="274"/>
      <c r="C25" s="138" t="s">
        <v>69</v>
      </c>
      <c r="D25" s="139">
        <f>'Hoja de Trabajo RG'!E35</f>
        <v>14.039292265814545</v>
      </c>
      <c r="E25" s="134">
        <f>'Hoja de Trabajo RG'!O35</f>
        <v>0.26056581233847204</v>
      </c>
      <c r="F25" s="139">
        <f>'Hoja de Trabajo RG'!G35</f>
        <v>10.285733227260675</v>
      </c>
      <c r="G25" s="134">
        <f>'Hoja de Trabajo RG'!P35</f>
        <v>9.7112654099449178E-2</v>
      </c>
      <c r="H25" s="139">
        <f>'Hoja de Trabajo RG'!I35</f>
        <v>11.898473266629379</v>
      </c>
      <c r="I25" s="134">
        <f>'Hoja de Trabajo RG'!Q35</f>
        <v>0.25949873160165166</v>
      </c>
      <c r="J25" s="139">
        <f>'Hoja de Trabajo RG'!K35</f>
        <v>12.602799188165042</v>
      </c>
      <c r="K25" s="134">
        <f>'Hoja de Trabajo RG'!R35</f>
        <v>0.22726214589180413</v>
      </c>
    </row>
    <row r="26" spans="2:11" s="141" customFormat="1" ht="21" customHeight="1" x14ac:dyDescent="0.25">
      <c r="B26" s="274"/>
      <c r="C26" s="140" t="s">
        <v>45</v>
      </c>
      <c r="D26" s="139">
        <f>'Hoja de Trabajo RG'!E36</f>
        <v>0.42121447362172099</v>
      </c>
      <c r="E26" s="134">
        <f>'Hoja de Trabajo RG'!O36</f>
        <v>-0.13225816396171353</v>
      </c>
      <c r="F26" s="139">
        <f>'Hoja de Trabajo RG'!G36</f>
        <v>0.25571379832644675</v>
      </c>
      <c r="G26" s="134">
        <f>'Hoja de Trabajo RG'!P36</f>
        <v>-0.24702380358584838</v>
      </c>
      <c r="H26" s="139">
        <f>'Hoja de Trabajo RG'!I36</f>
        <v>0.38972780968730175</v>
      </c>
      <c r="I26" s="134">
        <f>'Hoja de Trabajo RG'!Q36</f>
        <v>-8.9639324860268862E-2</v>
      </c>
      <c r="J26" s="139">
        <f>'Hoja de Trabajo RG'!K36</f>
        <v>0.36999222689125377</v>
      </c>
      <c r="K26" s="134">
        <f>'Hoja de Trabajo RG'!R36</f>
        <v>-0.14352509568022034</v>
      </c>
    </row>
    <row r="27" spans="2:11" ht="21" customHeight="1" x14ac:dyDescent="0.25">
      <c r="B27" s="274"/>
      <c r="C27" s="138" t="s">
        <v>4</v>
      </c>
      <c r="D27" s="133">
        <f>IF('Hoja de Trabajo RG'!E37="","-",'Hoja de Trabajo RG'!E37)</f>
        <v>3392</v>
      </c>
      <c r="E27" s="134">
        <f>'Hoja de Trabajo RG'!O37</f>
        <v>-0.20431620924231761</v>
      </c>
      <c r="F27" s="133">
        <f>IF('Hoja de Trabajo RG'!G37="","-",'Hoja de Trabajo RG'!G37)</f>
        <v>1893</v>
      </c>
      <c r="G27" s="134">
        <f>'Hoja de Trabajo RG'!P37</f>
        <v>-0.24821286735504369</v>
      </c>
      <c r="H27" s="133">
        <f>IF('Hoja de Trabajo RG'!I37="","-",'Hoja de Trabajo RG'!I37)</f>
        <v>1885</v>
      </c>
      <c r="I27" s="134">
        <f>'Hoja de Trabajo RG'!Q37</f>
        <v>-0.19718909710391821</v>
      </c>
      <c r="J27" s="133">
        <f>IF('Hoja de Trabajo RG'!K37=0,"-",'Hoja de Trabajo RG'!K37)</f>
        <v>7170</v>
      </c>
      <c r="K27" s="134">
        <f>'Hoja de Trabajo RG'!R37</f>
        <v>-0.21459086427867236</v>
      </c>
    </row>
    <row r="28" spans="2:11" s="137" customFormat="1" ht="21" customHeight="1" x14ac:dyDescent="0.25">
      <c r="B28" s="274"/>
      <c r="C28" s="105" t="s">
        <v>50</v>
      </c>
      <c r="D28" s="136">
        <f>'Hoja de Trabajo RG'!E39</f>
        <v>3.5913681626465181E-2</v>
      </c>
      <c r="E28" s="134">
        <f>'Hoja de Trabajo RG'!O39</f>
        <v>-0.20024341661906669</v>
      </c>
      <c r="F28" s="136">
        <f>'Hoja de Trabajo RG'!G39</f>
        <v>4.3554013115521574E-2</v>
      </c>
      <c r="G28" s="134">
        <f>'Hoja de Trabajo RG'!P39</f>
        <v>-0.18114846770829843</v>
      </c>
      <c r="H28" s="136">
        <f>'Hoja de Trabajo RG'!I39</f>
        <v>3.9869403969747259E-2</v>
      </c>
      <c r="I28" s="134">
        <f>'Hoja de Trabajo RG'!Q39</f>
        <v>-0.21407110621984179</v>
      </c>
      <c r="J28" s="136">
        <f>'Hoja de Trabajo RG'!K39</f>
        <v>3.8879490798632378E-2</v>
      </c>
      <c r="K28" s="134">
        <f>'Hoja de Trabajo RG'!R39</f>
        <v>-0.19839024092476365</v>
      </c>
    </row>
    <row r="29" spans="2:11" ht="21" customHeight="1" x14ac:dyDescent="0.25">
      <c r="B29" s="274"/>
      <c r="C29" s="138" t="s">
        <v>5</v>
      </c>
      <c r="D29" s="133">
        <f>IF('Hoja de Trabajo RG'!E40="","-",'Hoja de Trabajo RG'!E40)</f>
        <v>172</v>
      </c>
      <c r="E29" s="134">
        <f>'Hoja de Trabajo RG'!O40</f>
        <v>-0.21461187214611871</v>
      </c>
      <c r="F29" s="133">
        <f>IF('Hoja de Trabajo RG'!G40="","-",'Hoja de Trabajo RG'!G40)</f>
        <v>136</v>
      </c>
      <c r="G29" s="134">
        <f>'Hoja de Trabajo RG'!P40</f>
        <v>0.22522522522522523</v>
      </c>
      <c r="H29" s="133">
        <f>IF('Hoja de Trabajo RG'!I40="","-",'Hoja de Trabajo RG'!I40)</f>
        <v>101</v>
      </c>
      <c r="I29" s="134">
        <f>'Hoja de Trabajo RG'!Q40</f>
        <v>7.4468085106382975E-2</v>
      </c>
      <c r="J29" s="133">
        <f>IF('Hoja de Trabajo RG'!K40=0,"-",'Hoja de Trabajo RG'!K40)</f>
        <v>409</v>
      </c>
      <c r="K29" s="134">
        <f>'Hoja de Trabajo RG'!R40</f>
        <v>-3.5377358490566037E-2</v>
      </c>
    </row>
    <row r="30" spans="2:11" s="137" customFormat="1" ht="21" customHeight="1" x14ac:dyDescent="0.25">
      <c r="B30" s="274"/>
      <c r="C30" s="105" t="s">
        <v>51</v>
      </c>
      <c r="D30" s="136">
        <f>'Hoja de Trabajo RG'!E42</f>
        <v>1.4415740942318013E-2</v>
      </c>
      <c r="E30" s="134">
        <f>'Hoja de Trabajo RG'!O42</f>
        <v>0.1283652841102394</v>
      </c>
      <c r="F30" s="136">
        <f>'Hoja de Trabajo RG'!G42</f>
        <v>1.568245312420467E-2</v>
      </c>
      <c r="G30" s="134">
        <f>'Hoja de Trabajo RG'!P42</f>
        <v>0.15440689648507633</v>
      </c>
      <c r="H30" s="136">
        <f>'Hoja de Trabajo RG'!I42</f>
        <v>1.2462821712818043E-2</v>
      </c>
      <c r="I30" s="134">
        <f>'Hoja de Trabajo RG'!Q42</f>
        <v>9.1161123342439074E-2</v>
      </c>
      <c r="J30" s="136">
        <f>'Hoja de Trabajo RG'!K42</f>
        <v>1.428096383352408E-2</v>
      </c>
      <c r="K30" s="134">
        <f>'Hoja de Trabajo RG'!R42</f>
        <v>0.12805025289779148</v>
      </c>
    </row>
    <row r="31" spans="2:11" s="135" customFormat="1" ht="21" customHeight="1" thickBot="1" x14ac:dyDescent="0.3">
      <c r="B31" s="275"/>
      <c r="C31" s="106" t="s">
        <v>56</v>
      </c>
      <c r="D31" s="142">
        <f>'Hoja de Trabajo RG'!E44</f>
        <v>2.8824878917967027E-2</v>
      </c>
      <c r="E31" s="143">
        <f>'Hoja de Trabajo RG'!O44</f>
        <v>-0.1487186590331086</v>
      </c>
      <c r="F31" s="142">
        <f>'Hoja de Trabajo RG'!G44</f>
        <v>3.2876129584357025E-2</v>
      </c>
      <c r="G31" s="143">
        <f>'Hoja de Trabajo RG'!P44</f>
        <v>-0.18151051924974515</v>
      </c>
      <c r="H31" s="142">
        <f>'Hoja de Trabajo RG'!I44</f>
        <v>3.7729449098887487E-2</v>
      </c>
      <c r="I31" s="143">
        <f>'Hoja de Trabajo RG'!Q44</f>
        <v>-0.16973405324656612</v>
      </c>
      <c r="J31" s="142">
        <f>'Hoja de Trabajo RG'!K44</f>
        <v>3.203219163637392E-2</v>
      </c>
      <c r="K31" s="143">
        <f>'Hoja de Trabajo RG'!R44</f>
        <v>-0.16441249165453289</v>
      </c>
    </row>
    <row r="32" spans="2:11" ht="21" customHeight="1" x14ac:dyDescent="0.25">
      <c r="B32" s="273" t="s">
        <v>10</v>
      </c>
      <c r="C32" s="144" t="s">
        <v>65</v>
      </c>
      <c r="D32" s="145">
        <f>IF('Hoja de Trabajo RG'!E45="","-",'Hoja de Trabajo RG'!E45)</f>
        <v>1835736</v>
      </c>
      <c r="E32" s="146">
        <f>'Hoja de Trabajo RG'!O45</f>
        <v>-2.3911752335690779E-2</v>
      </c>
      <c r="F32" s="145">
        <f>IF('Hoja de Trabajo RG'!G45="","-",'Hoja de Trabajo RG'!G45)</f>
        <v>971826</v>
      </c>
      <c r="G32" s="146">
        <f>'Hoja de Trabajo RG'!P45</f>
        <v>-5.0381771882750011E-2</v>
      </c>
      <c r="H32" s="145">
        <f>IF('Hoja de Trabajo RG'!I45="","-",'Hoja de Trabajo RG'!I45)</f>
        <v>958961</v>
      </c>
      <c r="I32" s="146">
        <f>'Hoja de Trabajo RG'!Q45</f>
        <v>-5.7449336548809644E-3</v>
      </c>
      <c r="J32" s="145">
        <f>IF('Hoja de Trabajo RG'!K45=0,"-",'Hoja de Trabajo RG'!K45)</f>
        <v>3766523</v>
      </c>
      <c r="K32" s="146">
        <f>'Hoja de Trabajo RG'!R45</f>
        <v>-2.6384772766340235E-2</v>
      </c>
    </row>
    <row r="33" spans="2:11" s="135" customFormat="1" ht="21" customHeight="1" x14ac:dyDescent="0.25">
      <c r="B33" s="274"/>
      <c r="C33" s="102" t="s">
        <v>66</v>
      </c>
      <c r="D33" s="133">
        <f>IF('Hoja de Trabajo RG'!E46="","-",'Hoja de Trabajo RG'!E46)</f>
        <v>99598517.75</v>
      </c>
      <c r="E33" s="134">
        <f>'Hoja de Trabajo RG'!O46</f>
        <v>7.3371030640397572E-2</v>
      </c>
      <c r="F33" s="133">
        <f>IF('Hoja de Trabajo RG'!G46="","-",'Hoja de Trabajo RG'!G46)</f>
        <v>56298998</v>
      </c>
      <c r="G33" s="134">
        <f>'Hoja de Trabajo RG'!P46</f>
        <v>4.6720893227641766E-2</v>
      </c>
      <c r="H33" s="133">
        <f>IF('Hoja de Trabajo RG'!I46="","-",'Hoja de Trabajo RG'!I46)</f>
        <v>49283343</v>
      </c>
      <c r="I33" s="134">
        <f>'Hoja de Trabajo RG'!Q46</f>
        <v>6.9707649933352919E-2</v>
      </c>
      <c r="J33" s="133">
        <f>IF('Hoja de Trabajo RG'!K46=0,"-",'Hoja de Trabajo RG'!K46)</f>
        <v>205180858.75</v>
      </c>
      <c r="K33" s="134">
        <f>'Hoja de Trabajo RG'!R46</f>
        <v>6.5054398768606816E-2</v>
      </c>
    </row>
    <row r="34" spans="2:11" s="137" customFormat="1" ht="21" customHeight="1" x14ac:dyDescent="0.25">
      <c r="B34" s="274"/>
      <c r="C34" s="105" t="s">
        <v>52</v>
      </c>
      <c r="D34" s="136">
        <f>'Hoja de Trabajo RG'!E48</f>
        <v>1.5250484698101845</v>
      </c>
      <c r="E34" s="134">
        <f>'Hoja de Trabajo RG'!O48</f>
        <v>3.2193087089537421E-2</v>
      </c>
      <c r="F34" s="136">
        <f>'Hoja de Trabajo RG'!G48</f>
        <v>1.4746335094631702</v>
      </c>
      <c r="G34" s="134">
        <f>'Hoja de Trabajo RG'!P48</f>
        <v>4.0703331639093378E-2</v>
      </c>
      <c r="H34" s="136">
        <f>'Hoja de Trabajo RG'!I48</f>
        <v>1.4534766848101193</v>
      </c>
      <c r="I34" s="134">
        <f>'Hoja de Trabajo RG'!Q48</f>
        <v>6.8066241342638834E-2</v>
      </c>
      <c r="J34" s="136">
        <f>'Hoja de Trabajo RG'!K48</f>
        <v>1.4940240915138485</v>
      </c>
      <c r="K34" s="134">
        <f>'Hoja de Trabajo RG'!R48</f>
        <v>4.2808768883682867E-2</v>
      </c>
    </row>
    <row r="35" spans="2:11" s="137" customFormat="1" ht="21" customHeight="1" x14ac:dyDescent="0.25">
      <c r="B35" s="274"/>
      <c r="C35" s="105" t="s">
        <v>29</v>
      </c>
      <c r="D35" s="136">
        <f>'Hoja de Trabajo RG'!E53</f>
        <v>0.18440285632128822</v>
      </c>
      <c r="E35" s="134">
        <f>'Hoja de Trabajo RG'!O53</f>
        <v>-0.28339253401273151</v>
      </c>
      <c r="F35" s="136">
        <f>'Hoja de Trabajo RG'!G53</f>
        <v>0.25583879582422919</v>
      </c>
      <c r="G35" s="134">
        <f>'Hoja de Trabajo RG'!P53</f>
        <v>-9.3432114796894616E-2</v>
      </c>
      <c r="H35" s="136">
        <f>'Hoja de Trabajo RG'!I53</f>
        <v>0.19820690275031458</v>
      </c>
      <c r="I35" s="134">
        <f>'Hoja de Trabajo RG'!Q53</f>
        <v>-0.40218297903672362</v>
      </c>
      <c r="J35" s="136">
        <f>'Hoja de Trabajo RG'!K53</f>
        <v>0.20542924366568532</v>
      </c>
      <c r="K35" s="134">
        <f>'Hoja de Trabajo RG'!R53</f>
        <v>-0.27417269184060367</v>
      </c>
    </row>
    <row r="36" spans="2:11" s="137" customFormat="1" ht="21" customHeight="1" x14ac:dyDescent="0.25">
      <c r="B36" s="274"/>
      <c r="C36" s="105" t="s">
        <v>28</v>
      </c>
      <c r="D36" s="136">
        <f>'Hoja de Trabajo RG'!E54</f>
        <v>0.34987497158445102</v>
      </c>
      <c r="E36" s="134">
        <f>'Hoja de Trabajo RG'!O54</f>
        <v>-0.19330801531165873</v>
      </c>
      <c r="F36" s="136">
        <f>'Hoja de Trabajo RG'!G54</f>
        <v>0.62134433962264146</v>
      </c>
      <c r="G36" s="134">
        <f>'Hoja de Trabajo RG'!P54</f>
        <v>0.75690635519780125</v>
      </c>
      <c r="H36" s="136" t="str">
        <f>'Hoja de Trabajo RG'!I54</f>
        <v>-</v>
      </c>
      <c r="I36" s="134" t="str">
        <f>'Hoja de Trabajo RG'!Q54</f>
        <v>-</v>
      </c>
      <c r="J36" s="136" t="str">
        <f>'Hoja de Trabajo RG'!K54</f>
        <v>-</v>
      </c>
      <c r="K36" s="134" t="str">
        <f>'Hoja de Trabajo RG'!R54</f>
        <v>-</v>
      </c>
    </row>
    <row r="37" spans="2:11" s="137" customFormat="1" ht="21" customHeight="1" x14ac:dyDescent="0.25">
      <c r="B37" s="274"/>
      <c r="C37" s="105" t="s">
        <v>70</v>
      </c>
      <c r="D37" s="139">
        <f>'Hoja de Trabajo RG'!E51</f>
        <v>10.911895828158297</v>
      </c>
      <c r="E37" s="134">
        <f>'Hoja de Trabajo RG'!O51</f>
        <v>-8.9287032473120462E-2</v>
      </c>
      <c r="F37" s="139">
        <f>'Hoja de Trabajo RG'!G51</f>
        <v>10.172191318198937</v>
      </c>
      <c r="G37" s="134">
        <f>'Hoja de Trabajo RG'!P51</f>
        <v>-4.5479385410125639E-2</v>
      </c>
      <c r="H37" s="139">
        <f>'Hoja de Trabajo RG'!I51</f>
        <v>11.138054623702111</v>
      </c>
      <c r="I37" s="134">
        <f>'Hoja de Trabajo RG'!Q51</f>
        <v>-0.1136230452855557</v>
      </c>
      <c r="J37" s="139">
        <f>'Hoja de Trabajo RG'!K51</f>
        <v>10.778619963292405</v>
      </c>
      <c r="K37" s="134">
        <f>'Hoja de Trabajo RG'!R51</f>
        <v>-8.4763202022892448E-2</v>
      </c>
    </row>
    <row r="38" spans="2:11" ht="21" customHeight="1" x14ac:dyDescent="0.25">
      <c r="B38" s="274"/>
      <c r="C38" s="138" t="s">
        <v>46</v>
      </c>
      <c r="D38" s="139">
        <f>'Hoja de Trabajo RG'!E57</f>
        <v>33.894250388664503</v>
      </c>
      <c r="E38" s="134">
        <f>'Hoja de Trabajo RG'!O57</f>
        <v>3.2417008488105532E-2</v>
      </c>
      <c r="F38" s="139">
        <f>'Hoja de Trabajo RG'!G57</f>
        <v>34.876523322594203</v>
      </c>
      <c r="G38" s="134">
        <f>'Hoja de Trabajo RG'!P57</f>
        <v>5.3420531264758014E-2</v>
      </c>
      <c r="H38" s="139">
        <f>'Hoja de Trabajo RG'!I57</f>
        <v>33.032019454858649</v>
      </c>
      <c r="I38" s="134">
        <f>'Hoja de Trabajo RG'!Q57</f>
        <v>2.663513119180605E-2</v>
      </c>
      <c r="J38" s="139">
        <f>'Hoja de Trabajo RG'!K57</f>
        <v>33.924486415255224</v>
      </c>
      <c r="K38" s="134">
        <f>'Hoja de Trabajo RG'!R57</f>
        <v>3.6172679321626648E-2</v>
      </c>
    </row>
    <row r="39" spans="2:11" s="141" customFormat="1" ht="21" customHeight="1" x14ac:dyDescent="0.25">
      <c r="B39" s="274"/>
      <c r="C39" s="140" t="s">
        <v>30</v>
      </c>
      <c r="D39" s="139">
        <f>'Hoja de Trabajo RG'!E59</f>
        <v>12.860577337917871</v>
      </c>
      <c r="E39" s="134">
        <f>'Hoja de Trabajo RG'!O59</f>
        <v>0.14948735979366148</v>
      </c>
      <c r="F39" s="139">
        <f>'Hoja de Trabajo RG'!G59</f>
        <v>12.785525804001951</v>
      </c>
      <c r="G39" s="134">
        <f>'Hoja de Trabajo RG'!P59</f>
        <v>0.15413523534396853</v>
      </c>
      <c r="H39" s="139">
        <f>'Hoja de Trabajo RG'!I59</f>
        <v>12.174388739479499</v>
      </c>
      <c r="I39" s="134">
        <f>'Hoja de Trabajo RG'!Q59</f>
        <v>0.18872389959227548</v>
      </c>
      <c r="J39" s="139">
        <f>'Hoja de Trabajo RG'!K59</f>
        <v>12.666508395143211</v>
      </c>
      <c r="K39" s="134">
        <f>'Hoja de Trabajo RG'!R59</f>
        <v>0.15961914319548426</v>
      </c>
    </row>
    <row r="40" spans="2:11" ht="21" customHeight="1" thickBot="1" x14ac:dyDescent="0.3">
      <c r="B40" s="275"/>
      <c r="C40" s="147" t="s">
        <v>31</v>
      </c>
      <c r="D40" s="148">
        <f>'Hoja de Trabajo RG'!E61</f>
        <v>3.2081955139518974</v>
      </c>
      <c r="E40" s="143">
        <f>'Hoja de Trabajo RG'!O61</f>
        <v>3.9231774653013522E-2</v>
      </c>
      <c r="F40" s="148">
        <f>'Hoja de Trabajo RG'!G61</f>
        <v>3.5425065803960791</v>
      </c>
      <c r="G40" s="143">
        <f>'Hoja de Trabajo RG'!P61</f>
        <v>0.12623536479814293</v>
      </c>
      <c r="H40" s="148">
        <f>'Hoja de Trabajo RG'!I61</f>
        <v>3.8171521052472417</v>
      </c>
      <c r="I40" s="143">
        <f>'Hoja de Trabajo RG'!Q61</f>
        <v>0.14539739284297518</v>
      </c>
      <c r="J40" s="148">
        <f>'Hoja de Trabajo RG'!K61</f>
        <v>3.4494944010696336</v>
      </c>
      <c r="K40" s="143">
        <f>'Hoja de Trabajo RG'!R61</f>
        <v>9.032426894780532E-2</v>
      </c>
    </row>
    <row r="41" spans="2:11" ht="21" customHeight="1" x14ac:dyDescent="0.25">
      <c r="B41" s="273" t="s">
        <v>90</v>
      </c>
      <c r="C41" s="101" t="s">
        <v>84</v>
      </c>
      <c r="D41" s="145">
        <f>IF('Hoja de Trabajo RG'!E62="","-",'Hoja de Trabajo RG'!E62)</f>
        <v>95689</v>
      </c>
      <c r="E41" s="166" t="str">
        <f>'Hoja de Trabajo RG'!O62</f>
        <v>-</v>
      </c>
      <c r="F41" s="145">
        <f>IF('Hoja de Trabajo RG'!G62="","-",'Hoja de Trabajo RG'!G62)</f>
        <v>46350</v>
      </c>
      <c r="G41" s="166" t="str">
        <f>'Hoja de Trabajo RG'!P62</f>
        <v>-</v>
      </c>
      <c r="H41" s="145">
        <f>IF('Hoja de Trabajo RG'!I62="","-",'Hoja de Trabajo RG'!I62)</f>
        <v>53184</v>
      </c>
      <c r="I41" s="87" t="str">
        <f>'Hoja de Trabajo RG'!Q62</f>
        <v>-</v>
      </c>
      <c r="J41" s="145">
        <f>IF('Hoja de Trabajo RG'!K62=0,"-",'Hoja de Trabajo RG'!K62)</f>
        <v>195223</v>
      </c>
      <c r="K41" s="166" t="str">
        <f>'Hoja de Trabajo RG'!R62</f>
        <v>-</v>
      </c>
    </row>
    <row r="42" spans="2:11" ht="21" customHeight="1" x14ac:dyDescent="0.25">
      <c r="B42" s="274"/>
      <c r="C42" s="105" t="s">
        <v>20</v>
      </c>
      <c r="D42" s="264">
        <f>'Hoja de Trabajo RG'!E65</f>
        <v>22.494194254028411</v>
      </c>
      <c r="E42" s="268" t="str">
        <f>'Hoja de Trabajo RG'!O65</f>
        <v>-</v>
      </c>
      <c r="F42" s="264">
        <f>'Hoja de Trabajo RG'!G65</f>
        <v>22.618115216360092</v>
      </c>
      <c r="G42" s="268" t="str">
        <f>'Hoja de Trabajo RG'!P65</f>
        <v>-</v>
      </c>
      <c r="H42" s="264">
        <f>'Hoja de Trabajo RG'!I65</f>
        <v>20.731259572934498</v>
      </c>
      <c r="I42" s="268" t="str">
        <f>'Hoja de Trabajo RG'!Q65</f>
        <v>-</v>
      </c>
      <c r="J42" s="264">
        <f>'Hoja de Trabajo RG'!K65</f>
        <v>22.037186822471128</v>
      </c>
      <c r="K42" s="268" t="str">
        <f>'Hoja de Trabajo RG'!R65</f>
        <v>-</v>
      </c>
    </row>
    <row r="43" spans="2:11" ht="21" customHeight="1" x14ac:dyDescent="0.25">
      <c r="B43" s="274"/>
      <c r="C43" s="103" t="s">
        <v>91</v>
      </c>
      <c r="D43" s="266">
        <f>IF('Hoja de Trabajo RG'!E66="","-",'Hoja de Trabajo RG'!E66)</f>
        <v>17060</v>
      </c>
      <c r="E43" s="267" t="str">
        <f>'Hoja de Trabajo RG'!O66</f>
        <v>-</v>
      </c>
      <c r="F43" s="266">
        <f>IF('Hoja de Trabajo RG'!G66="","-",'Hoja de Trabajo RG'!G66)</f>
        <v>9799</v>
      </c>
      <c r="G43" s="267" t="str">
        <f>'Hoja de Trabajo RG'!P66</f>
        <v>-</v>
      </c>
      <c r="H43" s="266">
        <f>IF('Hoja de Trabajo RG'!I66="","-",'Hoja de Trabajo RG'!I66)</f>
        <v>8788</v>
      </c>
      <c r="I43" s="271" t="str">
        <f>'Hoja de Trabajo RG'!Q66</f>
        <v>-</v>
      </c>
      <c r="J43" s="266">
        <f>IF('Hoja de Trabajo RG'!K66=0,"-",'Hoja de Trabajo RG'!K66)</f>
        <v>35647</v>
      </c>
      <c r="K43" s="267" t="str">
        <f>'Hoja de Trabajo RG'!R66</f>
        <v>-</v>
      </c>
    </row>
    <row r="44" spans="2:11" ht="21" customHeight="1" x14ac:dyDescent="0.25">
      <c r="B44" s="274"/>
      <c r="C44" s="104" t="s">
        <v>87</v>
      </c>
      <c r="D44" s="264">
        <f>'Hoja de Trabajo RG'!E67</f>
        <v>4.2471645696932416</v>
      </c>
      <c r="E44" s="268" t="str">
        <f>'Hoja de Trabajo RG'!O67</f>
        <v>-</v>
      </c>
      <c r="F44" s="264">
        <f>'Hoja de Trabajo RG'!G67</f>
        <v>3.8196373033937498</v>
      </c>
      <c r="G44" s="268" t="str">
        <f>'Hoja de Trabajo RG'!P67</f>
        <v>-</v>
      </c>
      <c r="H44" s="264">
        <f>'Hoja de Trabajo RG'!I67</f>
        <v>4.5108343482936792</v>
      </c>
      <c r="I44" s="265" t="str">
        <f>'Hoja de Trabajo RG'!Q67</f>
        <v>-</v>
      </c>
      <c r="J44" s="264">
        <f>'Hoja de Trabajo RG'!K67</f>
        <v>4.2024082214563201</v>
      </c>
      <c r="K44" s="268" t="str">
        <f>'Hoja de Trabajo RG'!R67</f>
        <v>-</v>
      </c>
    </row>
    <row r="45" spans="2:11" ht="21" customHeight="1" x14ac:dyDescent="0.25">
      <c r="B45" s="274"/>
      <c r="C45" s="104" t="s">
        <v>89</v>
      </c>
      <c r="D45" s="149">
        <f>IF('Hoja de Trabajo RG'!E68="","-",'Hoja de Trabajo RG'!E68)</f>
        <v>0</v>
      </c>
      <c r="E45" s="268" t="str">
        <f>'Hoja de Trabajo RG'!O68</f>
        <v>-</v>
      </c>
      <c r="F45" s="149">
        <f>IF('Hoja de Trabajo RG'!G68="","-",'Hoja de Trabajo RG'!G68)</f>
        <v>0</v>
      </c>
      <c r="G45" s="268" t="str">
        <f>'Hoja de Trabajo RG'!P68</f>
        <v>-</v>
      </c>
      <c r="H45" s="149">
        <f>IF('Hoja de Trabajo RG'!I68="","-",'Hoja de Trabajo RG'!I68)</f>
        <v>0</v>
      </c>
      <c r="I45" s="272" t="str">
        <f>'Hoja de Trabajo RG'!Q68</f>
        <v>-</v>
      </c>
      <c r="J45" s="149" t="str">
        <f>IF('Hoja de Trabajo RG'!K68=0,"-",'Hoja de Trabajo RG'!K68)</f>
        <v>-</v>
      </c>
      <c r="K45" s="268" t="str">
        <f>'Hoja de Trabajo RG'!R68</f>
        <v>-</v>
      </c>
    </row>
    <row r="46" spans="2:11" ht="21" customHeight="1" thickBot="1" x14ac:dyDescent="0.3">
      <c r="B46" s="275"/>
      <c r="C46" s="106" t="s">
        <v>88</v>
      </c>
      <c r="D46" s="142">
        <f>'Hoja de Trabajo RG'!E69</f>
        <v>0</v>
      </c>
      <c r="E46" s="269" t="str">
        <f>'Hoja de Trabajo RG'!O69</f>
        <v>-</v>
      </c>
      <c r="F46" s="142">
        <f>'Hoja de Trabajo RG'!G69</f>
        <v>0</v>
      </c>
      <c r="G46" s="269" t="str">
        <f>'Hoja de Trabajo RG'!P69</f>
        <v>-</v>
      </c>
      <c r="H46" s="142">
        <f>'Hoja de Trabajo RG'!I69</f>
        <v>0</v>
      </c>
      <c r="I46" s="269" t="str">
        <f>'Hoja de Trabajo RG'!Q69</f>
        <v>-</v>
      </c>
      <c r="J46" s="142">
        <f>'Hoja de Trabajo RG'!K69</f>
        <v>0</v>
      </c>
      <c r="K46" s="269" t="str">
        <f>'Hoja de Trabajo RG'!R69</f>
        <v>-</v>
      </c>
    </row>
    <row r="48" spans="2:11" x14ac:dyDescent="0.25">
      <c r="C48" s="153" t="s">
        <v>43</v>
      </c>
    </row>
  </sheetData>
  <sheetProtection password="A490" sheet="1" objects="1" scenarios="1"/>
  <mergeCells count="11">
    <mergeCell ref="B41:B46"/>
    <mergeCell ref="J9:K14"/>
    <mergeCell ref="J5:K5"/>
    <mergeCell ref="H5:I5"/>
    <mergeCell ref="H7:I7"/>
    <mergeCell ref="J7:K7"/>
    <mergeCell ref="B16:B31"/>
    <mergeCell ref="B32:B40"/>
    <mergeCell ref="D9:E14"/>
    <mergeCell ref="F9:G14"/>
    <mergeCell ref="H9:I14"/>
  </mergeCells>
  <conditionalFormatting sqref="K16:K24 K26:K36 K38:K40">
    <cfRule type="expression" dxfId="171" priority="69">
      <formula>K16="-"</formula>
    </cfRule>
  </conditionalFormatting>
  <conditionalFormatting sqref="K16:K17 K20 K32:K33 K35:K36">
    <cfRule type="expression" dxfId="170" priority="62">
      <formula>K16&lt;0</formula>
    </cfRule>
  </conditionalFormatting>
  <conditionalFormatting sqref="K18:K19 K21:K24 K34 K38:K40 K26:K31">
    <cfRule type="expression" dxfId="169" priority="61">
      <formula>K18&gt;0</formula>
    </cfRule>
  </conditionalFormatting>
  <conditionalFormatting sqref="E16:E17 E20 E32:E33 E35:E36">
    <cfRule type="expression" dxfId="168" priority="59">
      <formula>E16&lt;0</formula>
    </cfRule>
  </conditionalFormatting>
  <conditionalFormatting sqref="E18:E19 E21:E24 E34 E38:E40 E26:E31">
    <cfRule type="expression" dxfId="167" priority="58">
      <formula>E18&gt;0</formula>
    </cfRule>
  </conditionalFormatting>
  <conditionalFormatting sqref="E16:E24 E26:E36 E38:E40">
    <cfRule type="expression" dxfId="166" priority="57">
      <formula>E16="-"</formula>
    </cfRule>
  </conditionalFormatting>
  <conditionalFormatting sqref="G16:G17 G20 G32:G33 G35:G36">
    <cfRule type="expression" dxfId="165" priority="56">
      <formula>G16&lt;0</formula>
    </cfRule>
  </conditionalFormatting>
  <conditionalFormatting sqref="G18:G19 G21:G24 G34 G38:G40 G26:G31">
    <cfRule type="expression" dxfId="164" priority="55">
      <formula>G18&gt;0</formula>
    </cfRule>
  </conditionalFormatting>
  <conditionalFormatting sqref="G16:G24 G26:G36 G38:G40">
    <cfRule type="expression" dxfId="163" priority="54">
      <formula>G16="-"</formula>
    </cfRule>
  </conditionalFormatting>
  <conditionalFormatting sqref="I16:I17 I20 I32:I33 I35:I36">
    <cfRule type="expression" dxfId="162" priority="53">
      <formula>I16&lt;0</formula>
    </cfRule>
  </conditionalFormatting>
  <conditionalFormatting sqref="I18:I19 I21:I24 I34 I38:I40 I26:I31">
    <cfRule type="expression" dxfId="161" priority="52">
      <formula>I18&gt;0</formula>
    </cfRule>
  </conditionalFormatting>
  <conditionalFormatting sqref="I16:I24 I26:I36 I38:I40">
    <cfRule type="expression" dxfId="160" priority="51">
      <formula>I16="-"</formula>
    </cfRule>
  </conditionalFormatting>
  <conditionalFormatting sqref="E16 G16 I16">
    <cfRule type="expression" dxfId="159" priority="50">
      <formula>E16=MAX($E$16,$G$16,$I$16)</formula>
    </cfRule>
  </conditionalFormatting>
  <conditionalFormatting sqref="E17 G17 I17">
    <cfRule type="expression" dxfId="158" priority="49">
      <formula>E17=MAX($E$17,$G$17,$I$17)</formula>
    </cfRule>
  </conditionalFormatting>
  <conditionalFormatting sqref="E20 G20 I20">
    <cfRule type="expression" dxfId="157" priority="48">
      <formula>E20=MAX($E$20,$G$20,$I$20)</formula>
    </cfRule>
  </conditionalFormatting>
  <conditionalFormatting sqref="E32 G32 I32">
    <cfRule type="expression" dxfId="156" priority="47">
      <formula>E32=MAX($E$32,$G$32,$I$32)</formula>
    </cfRule>
  </conditionalFormatting>
  <conditionalFormatting sqref="E33 G33 I33">
    <cfRule type="expression" dxfId="155" priority="46">
      <formula>E33=MAX($E$33,$G$33,$I$33)</formula>
    </cfRule>
  </conditionalFormatting>
  <conditionalFormatting sqref="E35 G35 I35">
    <cfRule type="expression" dxfId="154" priority="45">
      <formula>E35=MAX($E$35,$G$35,$I$35)</formula>
    </cfRule>
  </conditionalFormatting>
  <conditionalFormatting sqref="E36 G36 I36">
    <cfRule type="expression" dxfId="153" priority="44">
      <formula>E36=MAX($E$36,$G$36,$I$36)</formula>
    </cfRule>
  </conditionalFormatting>
  <conditionalFormatting sqref="E18 G18 I18">
    <cfRule type="expression" dxfId="152" priority="43">
      <formula>E18=MIN($E$18,$G$18,$I$18)</formula>
    </cfRule>
  </conditionalFormatting>
  <conditionalFormatting sqref="E19 G19 I19">
    <cfRule type="expression" dxfId="151" priority="42">
      <formula>E19=MIN($E$19,$G$19,$I$19)</formula>
    </cfRule>
  </conditionalFormatting>
  <conditionalFormatting sqref="E21 G21 I21">
    <cfRule type="expression" dxfId="150" priority="41">
      <formula>E21=MIN($E$21,$G$21,$I$21)</formula>
    </cfRule>
  </conditionalFormatting>
  <conditionalFormatting sqref="E22 G22 I22">
    <cfRule type="expression" dxfId="149" priority="40">
      <formula>E22=MIN($E$22,$G$22,$I$22)</formula>
    </cfRule>
  </conditionalFormatting>
  <conditionalFormatting sqref="E23 G23 I23">
    <cfRule type="expression" dxfId="148" priority="39">
      <formula>E23=MIN($E$23,$G$23,$I$23)</formula>
    </cfRule>
  </conditionalFormatting>
  <conditionalFormatting sqref="E24 G24 I24">
    <cfRule type="expression" dxfId="147" priority="38">
      <formula>E24=MIN($E$24,$G$24,$I$24)</formula>
    </cfRule>
  </conditionalFormatting>
  <conditionalFormatting sqref="E26 G26 I26">
    <cfRule type="expression" dxfId="146" priority="37">
      <formula>E26=MIN($E$26,$G$26,$I$26)</formula>
    </cfRule>
  </conditionalFormatting>
  <conditionalFormatting sqref="E27 G27 I27">
    <cfRule type="expression" dxfId="145" priority="36">
      <formula>E27=MIN($E$27,$G$27,$I$27)</formula>
    </cfRule>
  </conditionalFormatting>
  <conditionalFormatting sqref="E28 G28 I28">
    <cfRule type="expression" dxfId="144" priority="35">
      <formula>E28=MIN($E$28,$G$28,$I$28)</formula>
    </cfRule>
  </conditionalFormatting>
  <conditionalFormatting sqref="E29 G29 I29">
    <cfRule type="expression" dxfId="143" priority="34">
      <formula>E29=MIN($E$29,$G$29,$I$29)</formula>
    </cfRule>
  </conditionalFormatting>
  <conditionalFormatting sqref="E30 G30 I30">
    <cfRule type="expression" dxfId="142" priority="33">
      <formula>E30=MIN($E$30,$G$30,$I$30)</formula>
    </cfRule>
  </conditionalFormatting>
  <conditionalFormatting sqref="E31 G31 I31">
    <cfRule type="expression" dxfId="141" priority="32">
      <formula>E31=MIN($E$31,$G$31,$I$31)</formula>
    </cfRule>
  </conditionalFormatting>
  <conditionalFormatting sqref="E34 G34 I34">
    <cfRule type="expression" dxfId="140" priority="31">
      <formula>E34=MIN($E$34,$G$34,$I$34)</formula>
    </cfRule>
  </conditionalFormatting>
  <conditionalFormatting sqref="E38 G38 I38">
    <cfRule type="expression" dxfId="139" priority="30">
      <formula>E38=MIN($E$38,$G$38,$I$38)</formula>
    </cfRule>
  </conditionalFormatting>
  <conditionalFormatting sqref="E39 G39 I39">
    <cfRule type="expression" dxfId="138" priority="29">
      <formula>E39=MIN($E$39,$G$39,$I$39)</formula>
    </cfRule>
  </conditionalFormatting>
  <conditionalFormatting sqref="E40 G40 I40">
    <cfRule type="expression" dxfId="137" priority="28">
      <formula>E40=MIN($E$40,$G$40,$I$40)</formula>
    </cfRule>
  </conditionalFormatting>
  <conditionalFormatting sqref="K25">
    <cfRule type="expression" dxfId="136" priority="26">
      <formula>K25="-"</formula>
    </cfRule>
  </conditionalFormatting>
  <conditionalFormatting sqref="K25">
    <cfRule type="expression" dxfId="135" priority="25">
      <formula>K25&gt;0</formula>
    </cfRule>
  </conditionalFormatting>
  <conditionalFormatting sqref="E25">
    <cfRule type="expression" dxfId="134" priority="24">
      <formula>E25&gt;0</formula>
    </cfRule>
  </conditionalFormatting>
  <conditionalFormatting sqref="E25">
    <cfRule type="expression" dxfId="133" priority="23">
      <formula>E25="-"</formula>
    </cfRule>
  </conditionalFormatting>
  <conditionalFormatting sqref="G25">
    <cfRule type="expression" dxfId="132" priority="22">
      <formula>G25&gt;0</formula>
    </cfRule>
  </conditionalFormatting>
  <conditionalFormatting sqref="G25">
    <cfRule type="expression" dxfId="131" priority="21">
      <formula>G25="-"</formula>
    </cfRule>
  </conditionalFormatting>
  <conditionalFormatting sqref="I25">
    <cfRule type="expression" dxfId="130" priority="20">
      <formula>I25&gt;0</formula>
    </cfRule>
  </conditionalFormatting>
  <conditionalFormatting sqref="I25">
    <cfRule type="expression" dxfId="129" priority="19">
      <formula>I25="-"</formula>
    </cfRule>
  </conditionalFormatting>
  <conditionalFormatting sqref="E25 G25 I25">
    <cfRule type="expression" dxfId="128" priority="27">
      <formula>E25=MIN($E$25,$G$25,$I$25)</formula>
    </cfRule>
  </conditionalFormatting>
  <conditionalFormatting sqref="E37">
    <cfRule type="expression" dxfId="127" priority="9">
      <formula>E37&gt;0</formula>
    </cfRule>
  </conditionalFormatting>
  <conditionalFormatting sqref="E37">
    <cfRule type="expression" dxfId="126" priority="8">
      <formula>E37="-"</formula>
    </cfRule>
  </conditionalFormatting>
  <conditionalFormatting sqref="G37">
    <cfRule type="expression" dxfId="125" priority="7">
      <formula>G37&gt;0</formula>
    </cfRule>
  </conditionalFormatting>
  <conditionalFormatting sqref="G37">
    <cfRule type="expression" dxfId="124" priority="6">
      <formula>G37="-"</formula>
    </cfRule>
  </conditionalFormatting>
  <conditionalFormatting sqref="I37">
    <cfRule type="expression" dxfId="123" priority="5">
      <formula>I37&gt;0</formula>
    </cfRule>
  </conditionalFormatting>
  <conditionalFormatting sqref="I37">
    <cfRule type="expression" dxfId="122" priority="4">
      <formula>I37="-"</formula>
    </cfRule>
  </conditionalFormatting>
  <conditionalFormatting sqref="K37">
    <cfRule type="expression" dxfId="121" priority="3">
      <formula>K37&gt;0</formula>
    </cfRule>
  </conditionalFormatting>
  <conditionalFormatting sqref="K37">
    <cfRule type="expression" dxfId="120" priority="2">
      <formula>K37="-"</formula>
    </cfRule>
  </conditionalFormatting>
  <conditionalFormatting sqref="E37 G37 I37">
    <cfRule type="expression" dxfId="119" priority="1">
      <formula>E37=MIN($E$37,$G$37,$I$37)</formula>
    </cfRule>
  </conditionalFormatting>
  <pageMargins left="0.24" right="0.24" top="0.74803149606299213" bottom="0.74803149606299213" header="0.31496062992125984" footer="0.31496062992125984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L48"/>
  <sheetViews>
    <sheetView zoomScaleNormal="100" workbookViewId="0">
      <pane ySplit="15" topLeftCell="A16" activePane="bottomLeft" state="frozen"/>
      <selection activeCell="D51" sqref="D51"/>
      <selection pane="bottomLeft" activeCell="C15" sqref="C15"/>
    </sheetView>
  </sheetViews>
  <sheetFormatPr baseColWidth="10" defaultColWidth="11.42578125" defaultRowHeight="15" x14ac:dyDescent="0.25"/>
  <cols>
    <col min="1" max="1" width="2.85546875" style="108" customWidth="1"/>
    <col min="2" max="2" width="12" style="107" customWidth="1"/>
    <col min="3" max="3" width="47.28515625" style="108" bestFit="1" customWidth="1"/>
    <col min="4" max="4" width="13.7109375" style="108" customWidth="1"/>
    <col min="5" max="5" width="9.28515625" style="108" customWidth="1"/>
    <col min="6" max="6" width="13.7109375" style="108" customWidth="1"/>
    <col min="7" max="7" width="9.28515625" style="108" customWidth="1"/>
    <col min="8" max="8" width="13.7109375" style="108" customWidth="1"/>
    <col min="9" max="9" width="10.28515625" style="108" bestFit="1" customWidth="1"/>
    <col min="10" max="10" width="13.7109375" style="108" customWidth="1"/>
    <col min="11" max="11" width="9.28515625" style="108" customWidth="1"/>
    <col min="12" max="16384" width="11.42578125" style="108"/>
  </cols>
  <sheetData>
    <row r="1" spans="2:12" ht="9.75" customHeight="1" x14ac:dyDescent="0.25"/>
    <row r="2" spans="2:12" s="113" customFormat="1" ht="48" customHeight="1" thickBot="1" x14ac:dyDescent="0.3">
      <c r="B2" s="109" t="s">
        <v>63</v>
      </c>
      <c r="C2" s="110"/>
      <c r="D2" s="111"/>
      <c r="E2" s="112" t="s">
        <v>64</v>
      </c>
      <c r="F2" s="110"/>
      <c r="G2" s="110"/>
      <c r="H2" s="110"/>
      <c r="I2" s="110"/>
      <c r="J2" s="110"/>
      <c r="K2" s="110"/>
    </row>
    <row r="3" spans="2:12" ht="9.1999999999999993" customHeight="1" thickTop="1" x14ac:dyDescent="0.25">
      <c r="L3" s="114"/>
    </row>
    <row r="4" spans="2:12" s="114" customFormat="1" ht="21.75" customHeight="1" x14ac:dyDescent="0.2">
      <c r="C4" s="115"/>
    </row>
    <row r="5" spans="2:12" s="114" customFormat="1" ht="28.7" x14ac:dyDescent="0.45">
      <c r="B5" s="116" t="s">
        <v>61</v>
      </c>
      <c r="C5" s="115"/>
      <c r="H5" s="313" t="s">
        <v>12</v>
      </c>
      <c r="I5" s="313"/>
      <c r="J5" s="312" t="str">
        <f>'Hoja de Trabajo RETA'!J5:K5</f>
        <v>Mayo</v>
      </c>
      <c r="K5" s="312"/>
    </row>
    <row r="6" spans="2:12" s="114" customFormat="1" ht="5.25" customHeight="1" x14ac:dyDescent="0.2">
      <c r="B6" s="115"/>
      <c r="C6" s="115"/>
      <c r="H6" s="117"/>
      <c r="I6" s="117"/>
      <c r="J6" s="118"/>
      <c r="K6" s="118"/>
    </row>
    <row r="7" spans="2:12" s="114" customFormat="1" ht="18.75" x14ac:dyDescent="0.2">
      <c r="B7" s="115"/>
      <c r="C7" s="115"/>
      <c r="H7" s="313" t="s">
        <v>32</v>
      </c>
      <c r="I7" s="313"/>
      <c r="J7" s="312" t="str">
        <f>'Hoja de Trabajo RETA'!J7:K7</f>
        <v>Febrero</v>
      </c>
      <c r="K7" s="312"/>
    </row>
    <row r="8" spans="2:12" ht="14.25" customHeight="1" thickBot="1" x14ac:dyDescent="0.4">
      <c r="B8" s="119"/>
    </row>
    <row r="9" spans="2:12" x14ac:dyDescent="0.25">
      <c r="D9" s="314"/>
      <c r="E9" s="315"/>
      <c r="F9" s="320"/>
      <c r="G9" s="321"/>
      <c r="H9" s="326"/>
      <c r="I9" s="327"/>
      <c r="J9" s="332"/>
      <c r="K9" s="333"/>
    </row>
    <row r="10" spans="2:12" x14ac:dyDescent="0.25">
      <c r="D10" s="316"/>
      <c r="E10" s="317"/>
      <c r="F10" s="322"/>
      <c r="G10" s="323"/>
      <c r="H10" s="328"/>
      <c r="I10" s="329"/>
      <c r="J10" s="334"/>
      <c r="K10" s="335"/>
    </row>
    <row r="11" spans="2:12" x14ac:dyDescent="0.25">
      <c r="D11" s="316"/>
      <c r="E11" s="317"/>
      <c r="F11" s="322"/>
      <c r="G11" s="323"/>
      <c r="H11" s="328"/>
      <c r="I11" s="329"/>
      <c r="J11" s="334"/>
      <c r="K11" s="335"/>
    </row>
    <row r="12" spans="2:12" x14ac:dyDescent="0.25">
      <c r="D12" s="316"/>
      <c r="E12" s="317"/>
      <c r="F12" s="322"/>
      <c r="G12" s="323"/>
      <c r="H12" s="328"/>
      <c r="I12" s="329"/>
      <c r="J12" s="334"/>
      <c r="K12" s="335"/>
    </row>
    <row r="13" spans="2:12" x14ac:dyDescent="0.25">
      <c r="D13" s="316"/>
      <c r="E13" s="317"/>
      <c r="F13" s="322"/>
      <c r="G13" s="323"/>
      <c r="H13" s="328"/>
      <c r="I13" s="329"/>
      <c r="J13" s="334"/>
      <c r="K13" s="335"/>
    </row>
    <row r="14" spans="2:12" ht="15.75" thickBot="1" x14ac:dyDescent="0.3">
      <c r="D14" s="318"/>
      <c r="E14" s="319"/>
      <c r="F14" s="324"/>
      <c r="G14" s="325"/>
      <c r="H14" s="330"/>
      <c r="I14" s="331"/>
      <c r="J14" s="336"/>
      <c r="K14" s="337"/>
    </row>
    <row r="15" spans="2:12" s="126" customFormat="1" ht="28.7" customHeight="1" thickBot="1" x14ac:dyDescent="0.3">
      <c r="B15" s="120"/>
      <c r="C15" s="154" t="s">
        <v>0</v>
      </c>
      <c r="D15" s="155">
        <v>2020</v>
      </c>
      <c r="E15" s="156" t="s">
        <v>1</v>
      </c>
      <c r="F15" s="157">
        <v>2020</v>
      </c>
      <c r="G15" s="158" t="s">
        <v>1</v>
      </c>
      <c r="H15" s="157">
        <v>2020</v>
      </c>
      <c r="I15" s="158" t="s">
        <v>1</v>
      </c>
      <c r="J15" s="155">
        <v>2020</v>
      </c>
      <c r="K15" s="158" t="s">
        <v>1</v>
      </c>
    </row>
    <row r="16" spans="2:12" ht="21" customHeight="1" thickTop="1" x14ac:dyDescent="0.25">
      <c r="B16" s="305" t="s">
        <v>9</v>
      </c>
      <c r="C16" s="130" t="s">
        <v>2</v>
      </c>
      <c r="D16" s="131">
        <f>IF('Hoja de Trabajo RETA'!E16="","-",'Hoja de Trabajo RETA'!E16)</f>
        <v>476209</v>
      </c>
      <c r="E16" s="132">
        <f>'Hoja de Trabajo RETA'!O16</f>
        <v>0.10673954927129016</v>
      </c>
      <c r="F16" s="131">
        <f>IF('Hoja de Trabajo RETA'!G16="","-",'Hoja de Trabajo RETA'!G16)</f>
        <v>204950</v>
      </c>
      <c r="G16" s="132">
        <f>'Hoja de Trabajo RETA'!P16</f>
        <v>0.11061738296385007</v>
      </c>
      <c r="H16" s="131">
        <f>IF('Hoja de Trabajo RETA'!I16="","-",'Hoja de Trabajo RETA'!I16)</f>
        <v>244965</v>
      </c>
      <c r="I16" s="132">
        <f>'Hoja de Trabajo RETA'!Q16</f>
        <v>0.10063981021359956</v>
      </c>
      <c r="J16" s="131">
        <f>IF('Hoja de Trabajo RETA'!K16=0,"-",'Hoja de Trabajo RETA'!K16)</f>
        <v>926124</v>
      </c>
      <c r="K16" s="132">
        <f>'Hoja de Trabajo RETA'!R16</f>
        <v>0.10597288699091456</v>
      </c>
    </row>
    <row r="17" spans="2:11" s="135" customFormat="1" ht="21" customHeight="1" x14ac:dyDescent="0.25">
      <c r="B17" s="306"/>
      <c r="C17" s="102" t="s">
        <v>35</v>
      </c>
      <c r="D17" s="133">
        <f>IF('Hoja de Trabajo RETA'!E17="","-",'Hoja de Trabajo RETA'!E17)</f>
        <v>10129690.34</v>
      </c>
      <c r="E17" s="134">
        <f>'Hoja de Trabajo RETA'!O17</f>
        <v>0.15255680972007249</v>
      </c>
      <c r="F17" s="133">
        <f>IF('Hoja de Trabajo RETA'!G17="","-",'Hoja de Trabajo RETA'!G17)</f>
        <v>4545290</v>
      </c>
      <c r="G17" s="134">
        <f>'Hoja de Trabajo RETA'!P17</f>
        <v>0.14986590813246117</v>
      </c>
      <c r="H17" s="133">
        <f>IF('Hoja de Trabajo RETA'!I17="","-",'Hoja de Trabajo RETA'!I17)</f>
        <v>5269578</v>
      </c>
      <c r="I17" s="134">
        <f>'Hoja de Trabajo RETA'!Q17</f>
        <v>0.15189007072122182</v>
      </c>
      <c r="J17" s="133">
        <f>IF('Hoja de Trabajo RETA'!K17=0,"-",'Hoja de Trabajo RETA'!K17)</f>
        <v>19944558.34</v>
      </c>
      <c r="K17" s="134">
        <f>'Hoja de Trabajo RETA'!R17</f>
        <v>0.15176640869526878</v>
      </c>
    </row>
    <row r="18" spans="2:11" s="137" customFormat="1" ht="21" customHeight="1" x14ac:dyDescent="0.25">
      <c r="B18" s="306"/>
      <c r="C18" s="105" t="s">
        <v>48</v>
      </c>
      <c r="D18" s="136">
        <f>'Hoja de Trabajo RETA'!E19</f>
        <v>0.17555398144579412</v>
      </c>
      <c r="E18" s="134">
        <f>'Hoja de Trabajo RETA'!O19</f>
        <v>1.4474305015065059</v>
      </c>
      <c r="F18" s="136">
        <f>'Hoja de Trabajo RETA'!G19</f>
        <v>0.11694743349709259</v>
      </c>
      <c r="G18" s="134">
        <f>'Hoja de Trabajo RETA'!P19</f>
        <v>1.4227241211363233</v>
      </c>
      <c r="H18" s="136">
        <f>'Hoja de Trabajo RETA'!I19</f>
        <v>0.13287458692138157</v>
      </c>
      <c r="I18" s="134">
        <f>'Hoja de Trabajo RETA'!Q19</f>
        <v>2.5214428906877813</v>
      </c>
      <c r="J18" s="136">
        <f>'Hoja de Trabajo RETA'!K19</f>
        <v>0.1509213901198877</v>
      </c>
      <c r="K18" s="134">
        <f>'Hoja de Trabajo RETA'!R19</f>
        <v>1.6295910003748546</v>
      </c>
    </row>
    <row r="19" spans="2:11" s="137" customFormat="1" ht="21" customHeight="1" x14ac:dyDescent="0.25">
      <c r="B19" s="306"/>
      <c r="C19" s="105" t="s">
        <v>49</v>
      </c>
      <c r="D19" s="136">
        <f>'Hoja de Trabajo RETA'!E21</f>
        <v>7.4373448221320457E-2</v>
      </c>
      <c r="E19" s="134">
        <f>'Hoja de Trabajo RETA'!O21</f>
        <v>0.42174742664984921</v>
      </c>
      <c r="F19" s="136">
        <f>'Hoja de Trabajo RETA'!G21</f>
        <v>2.9973225030746113E-2</v>
      </c>
      <c r="G19" s="134">
        <f>'Hoja de Trabajo RETA'!P21</f>
        <v>-0.58318843442644486</v>
      </c>
      <c r="H19" s="136">
        <f>'Hoja de Trabajo RETA'!I21</f>
        <v>0.13737874266212588</v>
      </c>
      <c r="I19" s="134">
        <f>'Hoja de Trabajo RETA'!Q21</f>
        <v>419.10006267881579</v>
      </c>
      <c r="J19" s="136">
        <f>'Hoja de Trabajo RETA'!K21</f>
        <v>8.0901515716391648E-2</v>
      </c>
      <c r="K19" s="134">
        <f>'Hoja de Trabajo RETA'!R21</f>
        <v>0.87916010194745076</v>
      </c>
    </row>
    <row r="20" spans="2:11" s="137" customFormat="1" ht="21" customHeight="1" x14ac:dyDescent="0.25">
      <c r="B20" s="306"/>
      <c r="C20" s="105" t="s">
        <v>34</v>
      </c>
      <c r="D20" s="136">
        <f>'Hoja de Trabajo RETA'!E24</f>
        <v>0.22992619100872289</v>
      </c>
      <c r="E20" s="134">
        <f>'Hoja de Trabajo RETA'!O24</f>
        <v>0.30080808406882276</v>
      </c>
      <c r="F20" s="136">
        <f>'Hoja de Trabajo RETA'!G24</f>
        <v>0.28840315725561627</v>
      </c>
      <c r="G20" s="134">
        <f>'Hoja de Trabajo RETA'!P24</f>
        <v>4.087321300436049E-2</v>
      </c>
      <c r="H20" s="136">
        <f>'Hoja de Trabajo RETA'!I24</f>
        <v>0.20771144278606965</v>
      </c>
      <c r="I20" s="134">
        <f>'Hoja de Trabajo RETA'!Q24</f>
        <v>2.3021257349615668E-3</v>
      </c>
      <c r="J20" s="136">
        <f>'Hoja de Trabajo RETA'!K24</f>
        <v>0.23493552168815943</v>
      </c>
      <c r="K20" s="134">
        <f>'Hoja de Trabajo RETA'!R24</f>
        <v>0.14050300391748149</v>
      </c>
    </row>
    <row r="21" spans="2:11" s="137" customFormat="1" ht="21" customHeight="1" x14ac:dyDescent="0.25">
      <c r="B21" s="306"/>
      <c r="C21" s="105" t="s">
        <v>8</v>
      </c>
      <c r="D21" s="136">
        <f>'Hoja de Trabajo RETA'!E27</f>
        <v>0.4759825327510917</v>
      </c>
      <c r="E21" s="134">
        <f>'Hoja de Trabajo RETA'!O27</f>
        <v>-8.6603145545576077E-2</v>
      </c>
      <c r="F21" s="136">
        <f>'Hoja de Trabajo RETA'!G27</f>
        <v>0.42505592841163309</v>
      </c>
      <c r="G21" s="134">
        <f>'Hoja de Trabajo RETA'!P27</f>
        <v>-6.4298650108813152E-2</v>
      </c>
      <c r="H21" s="136">
        <f>'Hoja de Trabajo RETA'!I27</f>
        <v>0.50549450549450547</v>
      </c>
      <c r="I21" s="134">
        <f>'Hoja de Trabajo RETA'!Q27</f>
        <v>5.4808968121661569E-2</v>
      </c>
      <c r="J21" s="136">
        <f>'Hoja de Trabajo RETA'!K27</f>
        <v>0.47441799289754044</v>
      </c>
      <c r="K21" s="134">
        <f>'Hoja de Trabajo RETA'!R27</f>
        <v>-4.297353092780358E-2</v>
      </c>
    </row>
    <row r="22" spans="2:11" ht="21" customHeight="1" x14ac:dyDescent="0.25">
      <c r="B22" s="306"/>
      <c r="C22" s="138" t="s">
        <v>19</v>
      </c>
      <c r="D22" s="139">
        <f>'Hoja de Trabajo RETA'!E28</f>
        <v>1.043743398381803</v>
      </c>
      <c r="E22" s="134">
        <f>'Hoja de Trabajo RETA'!O28</f>
        <v>-9.20609873865426E-2</v>
      </c>
      <c r="F22" s="139">
        <f>'Hoja de Trabajo RETA'!G28</f>
        <v>0.66747987313979018</v>
      </c>
      <c r="G22" s="134">
        <f>'Hoja de Trabajo RETA'!P28</f>
        <v>-0.30173053656690779</v>
      </c>
      <c r="H22" s="139">
        <f>'Hoja de Trabajo RETA'!I28</f>
        <v>0.94642091727389632</v>
      </c>
      <c r="I22" s="134">
        <f>'Hoja de Trabajo RETA'!Q28</f>
        <v>-9.4250439138364325E-2</v>
      </c>
      <c r="J22" s="139">
        <f>'Hoja de Trabajo RETA'!K28</f>
        <v>0.93473444160825114</v>
      </c>
      <c r="K22" s="134">
        <f>'Hoja de Trabajo RETA'!R28</f>
        <v>-0.13376309688835347</v>
      </c>
    </row>
    <row r="23" spans="2:11" ht="21" customHeight="1" x14ac:dyDescent="0.25">
      <c r="B23" s="306"/>
      <c r="C23" s="138" t="s">
        <v>20</v>
      </c>
      <c r="D23" s="139">
        <f>'Hoja de Trabajo RETA'!E31</f>
        <v>60.72</v>
      </c>
      <c r="E23" s="134">
        <f>'Hoja de Trabajo RETA'!O31</f>
        <v>0.68152866242038213</v>
      </c>
      <c r="F23" s="139">
        <f>'Hoja de Trabajo RETA'!G31</f>
        <v>55.177931034482761</v>
      </c>
      <c r="G23" s="134">
        <f>'Hoja de Trabajo RETA'!P31</f>
        <v>0.81338252871496186</v>
      </c>
      <c r="H23" s="139">
        <f>'Hoja de Trabajo RETA'!I31</f>
        <v>48.831683168316829</v>
      </c>
      <c r="I23" s="134">
        <f>'Hoja de Trabajo RETA'!Q31</f>
        <v>0.46412563553652664</v>
      </c>
      <c r="J23" s="139">
        <f>'Hoja de Trabajo RETA'!K31</f>
        <v>56.597231798302033</v>
      </c>
      <c r="K23" s="134">
        <f>'Hoja de Trabajo RETA'!R31</f>
        <v>0.65503733115680129</v>
      </c>
    </row>
    <row r="24" spans="2:11" ht="21" customHeight="1" x14ac:dyDescent="0.25">
      <c r="B24" s="306"/>
      <c r="C24" s="138" t="s">
        <v>30</v>
      </c>
      <c r="D24" s="139">
        <f>'Hoja de Trabajo RETA'!E33</f>
        <v>0.65999256628917125</v>
      </c>
      <c r="E24" s="134">
        <f>'Hoja de Trabajo RETA'!O33</f>
        <v>0.41785824833376722</v>
      </c>
      <c r="F24" s="139">
        <f>'Hoja de Trabajo RETA'!G33</f>
        <v>0.48224835325689192</v>
      </c>
      <c r="G24" s="134">
        <f>'Hoja de Trabajo RETA'!P33</f>
        <v>0.311508393829317</v>
      </c>
      <c r="H24" s="139">
        <f>'Hoja de Trabajo RETA'!I33</f>
        <v>0.55762415038883106</v>
      </c>
      <c r="I24" s="134">
        <f>'Hoja de Trabajo RETA'!Q33</f>
        <v>0.60177612046525342</v>
      </c>
      <c r="J24" s="139">
        <f>'Hoja de Trabajo RETA'!K33</f>
        <v>0.59358098915479995</v>
      </c>
      <c r="K24" s="134">
        <f>'Hoja de Trabajo RETA'!R33</f>
        <v>0.43812863549313086</v>
      </c>
    </row>
    <row r="25" spans="2:11" ht="21" customHeight="1" x14ac:dyDescent="0.25">
      <c r="B25" s="306"/>
      <c r="C25" s="138" t="s">
        <v>69</v>
      </c>
      <c r="D25" s="139">
        <f>'Hoja de Trabajo RETA'!E35</f>
        <v>17.342668598100758</v>
      </c>
      <c r="E25" s="134">
        <f>'Hoja de Trabajo RETA'!O35</f>
        <v>0.46638933254095027</v>
      </c>
      <c r="F25" s="139">
        <f>'Hoja de Trabajo RETA'!G35</f>
        <v>12.719298245614036</v>
      </c>
      <c r="G25" s="134">
        <f>'Hoja de Trabajo RETA'!P35</f>
        <v>0.4111221449851043</v>
      </c>
      <c r="H25" s="139">
        <f>'Hoja de Trabajo RETA'!I35</f>
        <v>16.390614216701174</v>
      </c>
      <c r="I25" s="134">
        <f>'Hoja de Trabajo RETA'!Q35</f>
        <v>0.55583724172898974</v>
      </c>
      <c r="J25" s="139">
        <f>'Hoja de Trabajo RETA'!K35</f>
        <v>16.357083448849462</v>
      </c>
      <c r="K25" s="134">
        <f>'Hoja de Trabajo RETA'!R35</f>
        <v>0.49446517738931983</v>
      </c>
    </row>
    <row r="26" spans="2:11" s="141" customFormat="1" ht="21" customHeight="1" x14ac:dyDescent="0.25">
      <c r="B26" s="306"/>
      <c r="C26" s="140" t="s">
        <v>45</v>
      </c>
      <c r="D26" s="139">
        <f>'Hoja de Trabajo RETA'!E36</f>
        <v>0.18101295859591063</v>
      </c>
      <c r="E26" s="134">
        <f>'Hoja de Trabajo RETA'!O36</f>
        <v>0.33139208269413711</v>
      </c>
      <c r="F26" s="139">
        <f>'Hoja de Trabajo RETA'!G36</f>
        <v>8.4898755794096115E-2</v>
      </c>
      <c r="G26" s="134">
        <f>'Hoja de Trabajo RETA'!P36</f>
        <v>-1.4656496982697149E-2</v>
      </c>
      <c r="H26" s="139">
        <f>'Hoja de Trabajo RETA'!I36</f>
        <v>0.15512420141652888</v>
      </c>
      <c r="I26" s="134">
        <f>'Hoja de Trabajo RETA'!Q36</f>
        <v>0.40919889846821084</v>
      </c>
      <c r="J26" s="139">
        <f>'Hoja de Trabajo RETA'!K36</f>
        <v>0.15289529263899868</v>
      </c>
      <c r="K26" s="134">
        <f>'Hoja de Trabajo RETA'!R36</f>
        <v>0.29456088706992184</v>
      </c>
    </row>
    <row r="27" spans="2:11" ht="21" customHeight="1" x14ac:dyDescent="0.25">
      <c r="B27" s="306"/>
      <c r="C27" s="138" t="s">
        <v>4</v>
      </c>
      <c r="D27" s="133">
        <f>IF('Hoja de Trabajo RETA'!E37="","-",'Hoja de Trabajo RETA'!E37)</f>
        <v>332</v>
      </c>
      <c r="E27" s="134">
        <f>'Hoja de Trabajo RETA'!O37</f>
        <v>-0.22065727699530516</v>
      </c>
      <c r="F27" s="133">
        <f>IF('Hoja de Trabajo RETA'!G37="","-",'Hoja de Trabajo RETA'!G37)</f>
        <v>144</v>
      </c>
      <c r="G27" s="134">
        <f>'Hoja de Trabajo RETA'!P37</f>
        <v>-0.17714285714285713</v>
      </c>
      <c r="H27" s="133">
        <f>IF('Hoja de Trabajo RETA'!I37="","-",'Hoja de Trabajo RETA'!I37)</f>
        <v>162</v>
      </c>
      <c r="I27" s="134">
        <f>'Hoja de Trabajo RETA'!Q37</f>
        <v>-8.4745762711864403E-2</v>
      </c>
      <c r="J27" s="133">
        <f>IF('Hoja de Trabajo RETA'!K37=0,"-",'Hoja de Trabajo RETA'!K37)</f>
        <v>638</v>
      </c>
      <c r="K27" s="134">
        <f>'Hoja de Trabajo RETA'!R37</f>
        <v>-0.17994858611825193</v>
      </c>
    </row>
    <row r="28" spans="2:11" s="137" customFormat="1" ht="21" customHeight="1" x14ac:dyDescent="0.25">
      <c r="B28" s="306"/>
      <c r="C28" s="105" t="s">
        <v>50</v>
      </c>
      <c r="D28" s="136">
        <f>'Hoja de Trabajo RETA'!E39</f>
        <v>4.0337283400116261E-2</v>
      </c>
      <c r="E28" s="134">
        <f>'Hoja de Trabajo RETA'!O39</f>
        <v>-0.28950027193269995</v>
      </c>
      <c r="F28" s="136">
        <f>'Hoja de Trabajo RETA'!G39</f>
        <v>4.60872683591146E-2</v>
      </c>
      <c r="G28" s="134">
        <f>'Hoja de Trabajo RETA'!P39</f>
        <v>-0.10328378004510988</v>
      </c>
      <c r="H28" s="136">
        <f>'Hoja de Trabajo RETA'!I39</f>
        <v>2.9382428725791703E-2</v>
      </c>
      <c r="I28" s="134">
        <f>'Hoja de Trabajo RETA'!Q39</f>
        <v>-0.33473000233736538</v>
      </c>
      <c r="J28" s="136">
        <f>'Hoja de Trabajo RETA'!K39</f>
        <v>3.8753286827608945E-2</v>
      </c>
      <c r="K28" s="134">
        <f>'Hoja de Trabajo RETA'!R39</f>
        <v>-0.25781363747972341</v>
      </c>
    </row>
    <row r="29" spans="2:11" ht="21" customHeight="1" x14ac:dyDescent="0.25">
      <c r="B29" s="306"/>
      <c r="C29" s="138" t="s">
        <v>5</v>
      </c>
      <c r="D29" s="133">
        <f>IF('Hoja de Trabajo RETA'!E40="","-",'Hoja de Trabajo RETA'!E40)</f>
        <v>13</v>
      </c>
      <c r="E29" s="134">
        <f>'Hoja de Trabajo RETA'!O40</f>
        <v>-0.48</v>
      </c>
      <c r="F29" s="133">
        <f>IF('Hoja de Trabajo RETA'!G40="","-",'Hoja de Trabajo RETA'!G40)</f>
        <v>9</v>
      </c>
      <c r="G29" s="134">
        <f>'Hoja de Trabajo RETA'!P40</f>
        <v>0.125</v>
      </c>
      <c r="H29" s="133">
        <f>IF('Hoja de Trabajo RETA'!I40="","-",'Hoja de Trabajo RETA'!I40)</f>
        <v>10</v>
      </c>
      <c r="I29" s="134">
        <f>'Hoja de Trabajo RETA'!Q40</f>
        <v>1</v>
      </c>
      <c r="J29" s="133">
        <f>IF('Hoja de Trabajo RETA'!K40=0,"-",'Hoja de Trabajo RETA'!K40)</f>
        <v>32</v>
      </c>
      <c r="K29" s="134">
        <f>'Hoja de Trabajo RETA'!R40</f>
        <v>-0.15789473684210525</v>
      </c>
    </row>
    <row r="30" spans="2:11" s="137" customFormat="1" ht="21" customHeight="1" x14ac:dyDescent="0.25">
      <c r="B30" s="306"/>
      <c r="C30" s="105" t="s">
        <v>51</v>
      </c>
      <c r="D30" s="136">
        <f>'Hoja de Trabajo RETA'!E42</f>
        <v>2.0878430919537862E-2</v>
      </c>
      <c r="E30" s="134">
        <f>'Hoja de Trabajo RETA'!O42</f>
        <v>0.14212688179276747</v>
      </c>
      <c r="F30" s="136">
        <f>'Hoja de Trabajo RETA'!G42</f>
        <v>1.5963337872830996E-2</v>
      </c>
      <c r="G30" s="134">
        <f>'Hoja de Trabajo RETA'!P42</f>
        <v>0.36971218724351074</v>
      </c>
      <c r="H30" s="136">
        <f>'Hoja de Trabajo RETA'!I42</f>
        <v>1.3319093103850061E-2</v>
      </c>
      <c r="I30" s="134">
        <f>'Hoja de Trabajo RETA'!Q42</f>
        <v>6.7413442904617246E-2</v>
      </c>
      <c r="J30" s="136">
        <f>'Hoja de Trabajo RETA'!K42</f>
        <v>1.776103706892113E-2</v>
      </c>
      <c r="K30" s="134">
        <f>'Hoja de Trabajo RETA'!R42</f>
        <v>0.16581049885902158</v>
      </c>
    </row>
    <row r="31" spans="2:11" s="135" customFormat="1" ht="21" customHeight="1" thickBot="1" x14ac:dyDescent="0.3">
      <c r="B31" s="307"/>
      <c r="C31" s="106" t="s">
        <v>56</v>
      </c>
      <c r="D31" s="142">
        <f>'Hoja de Trabajo RETA'!E44</f>
        <v>6.7444702361948008E-2</v>
      </c>
      <c r="E31" s="143">
        <f>'Hoja de Trabajo RETA'!O44</f>
        <v>1.1964460692549344</v>
      </c>
      <c r="F31" s="142">
        <f>'Hoja de Trabajo RETA'!G44</f>
        <v>5.0917983230992961E-2</v>
      </c>
      <c r="G31" s="143">
        <f>'Hoja de Trabajo RETA'!P44</f>
        <v>1.9099575517227882</v>
      </c>
      <c r="H31" s="142">
        <f>'Hoja de Trabajo RETA'!I44</f>
        <v>6.5287960440095966E-2</v>
      </c>
      <c r="I31" s="143">
        <f>'Hoja de Trabajo RETA'!Q44</f>
        <v>16.100328309194843</v>
      </c>
      <c r="J31" s="142">
        <f>'Hoja de Trabajo RETA'!K44</f>
        <v>6.3108489470817736E-2</v>
      </c>
      <c r="K31" s="143">
        <f>'Hoja de Trabajo RETA'!R44</f>
        <v>2.0653472398398516</v>
      </c>
    </row>
    <row r="32" spans="2:11" ht="21" customHeight="1" x14ac:dyDescent="0.25">
      <c r="B32" s="305" t="s">
        <v>10</v>
      </c>
      <c r="C32" s="144" t="s">
        <v>65</v>
      </c>
      <c r="D32" s="145">
        <f>IF('Hoja de Trabajo RETA'!E45="","-",'Hoja de Trabajo RETA'!E45)</f>
        <v>479351</v>
      </c>
      <c r="E32" s="146">
        <f>'Hoja de Trabajo RETA'!O45</f>
        <v>9.7905429392700499E-2</v>
      </c>
      <c r="F32" s="145">
        <f>IF('Hoja de Trabajo RETA'!G45="","-",'Hoja de Trabajo RETA'!G45)</f>
        <v>203901</v>
      </c>
      <c r="G32" s="146">
        <f>'Hoja de Trabajo RETA'!P45</f>
        <v>9.5823637213751742E-2</v>
      </c>
      <c r="H32" s="145">
        <f>IF('Hoja de Trabajo RETA'!I45="","-",'Hoja de Trabajo RETA'!I45)</f>
        <v>245092</v>
      </c>
      <c r="I32" s="146">
        <f>'Hoja de Trabajo RETA'!Q45</f>
        <v>9.6996253709364835E-2</v>
      </c>
      <c r="J32" s="145">
        <f>IF('Hoja de Trabajo RETA'!K45=0,"-",'Hoja de Trabajo RETA'!K45)</f>
        <v>928344</v>
      </c>
      <c r="K32" s="146">
        <f>'Hoja de Trabajo RETA'!R45</f>
        <v>9.7207530578645243E-2</v>
      </c>
    </row>
    <row r="33" spans="2:11" s="135" customFormat="1" ht="21" customHeight="1" x14ac:dyDescent="0.25">
      <c r="B33" s="306"/>
      <c r="C33" s="102" t="s">
        <v>66</v>
      </c>
      <c r="D33" s="133">
        <f>IF('Hoja de Trabajo RETA'!E46="","-",'Hoja de Trabajo RETA'!E46)</f>
        <v>16241877.91</v>
      </c>
      <c r="E33" s="134">
        <f>'Hoja de Trabajo RETA'!O46</f>
        <v>0.13893338606938888</v>
      </c>
      <c r="F33" s="133">
        <f>IF('Hoja de Trabajo RETA'!G46="","-",'Hoja de Trabajo RETA'!G46)</f>
        <v>7244072</v>
      </c>
      <c r="G33" s="134">
        <f>'Hoja de Trabajo RETA'!P46</f>
        <v>0.14174180090484187</v>
      </c>
      <c r="H33" s="133">
        <f>IF('Hoja de Trabajo RETA'!I46="","-",'Hoja de Trabajo RETA'!I46)</f>
        <v>8334577</v>
      </c>
      <c r="I33" s="134">
        <f>'Hoja de Trabajo RETA'!Q46</f>
        <v>0.14406020738808026</v>
      </c>
      <c r="J33" s="133">
        <f>IF('Hoja de Trabajo RETA'!K46=0,"-",'Hoja de Trabajo RETA'!K46)</f>
        <v>31820526.91</v>
      </c>
      <c r="K33" s="134">
        <f>'Hoja de Trabajo RETA'!R46</f>
        <v>0.14091141253834102</v>
      </c>
    </row>
    <row r="34" spans="2:11" s="137" customFormat="1" ht="21" customHeight="1" x14ac:dyDescent="0.25">
      <c r="B34" s="306"/>
      <c r="C34" s="105" t="s">
        <v>52</v>
      </c>
      <c r="D34" s="136">
        <f>'Hoja de Trabajo RETA'!E48</f>
        <v>1.7437178007946248</v>
      </c>
      <c r="E34" s="134">
        <f>'Hoja de Trabajo RETA'!O48</f>
        <v>-4.2697456271029834E-3</v>
      </c>
      <c r="F34" s="136">
        <f>'Hoja de Trabajo RETA'!G48</f>
        <v>1.6953716086753416</v>
      </c>
      <c r="G34" s="134">
        <f>'Hoja de Trabajo RETA'!P48</f>
        <v>6.7175643648314409E-2</v>
      </c>
      <c r="H34" s="136">
        <f>'Hoja de Trabajo RETA'!I48</f>
        <v>1.5334478282461126</v>
      </c>
      <c r="I34" s="134">
        <f>'Hoja de Trabajo RETA'!Q48</f>
        <v>4.8846853805327668E-2</v>
      </c>
      <c r="J34" s="136">
        <f>'Hoja de Trabajo RETA'!K48</f>
        <v>1.6776367274177231</v>
      </c>
      <c r="K34" s="134">
        <f>'Hoja de Trabajo RETA'!R48</f>
        <v>2.3768165267234395E-2</v>
      </c>
    </row>
    <row r="35" spans="2:11" s="137" customFormat="1" ht="21" customHeight="1" x14ac:dyDescent="0.25">
      <c r="B35" s="306"/>
      <c r="C35" s="105" t="s">
        <v>29</v>
      </c>
      <c r="D35" s="136">
        <f>'Hoja de Trabajo RETA'!E53</f>
        <v>0.14367469879518072</v>
      </c>
      <c r="E35" s="134">
        <f>'Hoja de Trabajo RETA'!O53</f>
        <v>-0.20182041129008194</v>
      </c>
      <c r="F35" s="136">
        <f>'Hoja de Trabajo RETA'!G53</f>
        <v>0.17501917668115571</v>
      </c>
      <c r="G35" s="134">
        <f>'Hoja de Trabajo RETA'!P53</f>
        <v>-0.28850512068863504</v>
      </c>
      <c r="H35" s="136">
        <f>'Hoja de Trabajo RETA'!I53</f>
        <v>0.19038261472662121</v>
      </c>
      <c r="I35" s="134">
        <f>'Hoja de Trabajo RETA'!Q53</f>
        <v>-0.39439470515767072</v>
      </c>
      <c r="J35" s="136">
        <f>'Hoja de Trabajo RETA'!K53</f>
        <v>0.16151457697908939</v>
      </c>
      <c r="K35" s="134">
        <f>'Hoja de Trabajo RETA'!R53</f>
        <v>-0.28558700358871553</v>
      </c>
    </row>
    <row r="36" spans="2:11" s="137" customFormat="1" ht="21" customHeight="1" x14ac:dyDescent="0.25">
      <c r="B36" s="306"/>
      <c r="C36" s="105" t="s">
        <v>28</v>
      </c>
      <c r="D36" s="136">
        <f>'Hoja de Trabajo RETA'!E54</f>
        <v>0.32357263990955343</v>
      </c>
      <c r="E36" s="134">
        <f>'Hoja de Trabajo RETA'!O54</f>
        <v>-0.1581589340971376</v>
      </c>
      <c r="F36" s="136">
        <f>'Hoja de Trabajo RETA'!G54</f>
        <v>0.44462487820721014</v>
      </c>
      <c r="G36" s="134">
        <f>'Hoja de Trabajo RETA'!P54</f>
        <v>0.26792874289976598</v>
      </c>
      <c r="H36" s="136" t="str">
        <f>'Hoja de Trabajo RETA'!I54</f>
        <v>-</v>
      </c>
      <c r="I36" s="134" t="str">
        <f>'Hoja de Trabajo RETA'!Q54</f>
        <v>-</v>
      </c>
      <c r="J36" s="136" t="str">
        <f>'Hoja de Trabajo RETA'!K54</f>
        <v>-</v>
      </c>
      <c r="K36" s="134" t="str">
        <f>'Hoja de Trabajo RETA'!R54</f>
        <v>-</v>
      </c>
    </row>
    <row r="37" spans="2:11" s="137" customFormat="1" ht="21" customHeight="1" x14ac:dyDescent="0.25">
      <c r="B37" s="306"/>
      <c r="C37" s="105" t="s">
        <v>70</v>
      </c>
      <c r="D37" s="139">
        <f>'Hoja de Trabajo RETA'!E51</f>
        <v>9.9734849828205228</v>
      </c>
      <c r="E37" s="134">
        <f>'Hoja de Trabajo RETA'!O51</f>
        <v>-0.10104349144404653</v>
      </c>
      <c r="F37" s="139">
        <f>'Hoja de Trabajo RETA'!G51</f>
        <v>9.2068209572292439</v>
      </c>
      <c r="G37" s="134">
        <f>'Hoja de Trabajo RETA'!P51</f>
        <v>-0.10506395105493409</v>
      </c>
      <c r="H37" s="139">
        <f>'Hoja de Trabajo RETA'!I51</f>
        <v>8.4712679320418438</v>
      </c>
      <c r="I37" s="134">
        <f>'Hoja de Trabajo RETA'!Q51</f>
        <v>-9.7186055788627698E-2</v>
      </c>
      <c r="J37" s="139">
        <f>'Hoja de Trabajo RETA'!K51</f>
        <v>9.408495126806443</v>
      </c>
      <c r="K37" s="134">
        <f>'Hoja de Trabajo RETA'!R51</f>
        <v>-0.10097175903652453</v>
      </c>
    </row>
    <row r="38" spans="2:11" ht="21" customHeight="1" x14ac:dyDescent="0.25">
      <c r="B38" s="306"/>
      <c r="C38" s="138" t="s">
        <v>46</v>
      </c>
      <c r="D38" s="139">
        <f>'Hoja de Trabajo RETA'!E57</f>
        <v>79.840185355022456</v>
      </c>
      <c r="E38" s="134">
        <f>'Hoja de Trabajo RETA'!O57</f>
        <v>-6.881052769976137E-2</v>
      </c>
      <c r="F38" s="139">
        <f>'Hoja de Trabajo RETA'!G57</f>
        <v>84.290210210210205</v>
      </c>
      <c r="G38" s="134">
        <f>'Hoja de Trabajo RETA'!P57</f>
        <v>-6.2111794581237507E-2</v>
      </c>
      <c r="H38" s="139">
        <f>'Hoja de Trabajo RETA'!I57</f>
        <v>79.049485185963434</v>
      </c>
      <c r="I38" s="134">
        <f>'Hoja de Trabajo RETA'!Q57</f>
        <v>-5.0456369616661584E-2</v>
      </c>
      <c r="J38" s="139">
        <f>'Hoja de Trabajo RETA'!K57</f>
        <v>80.605760373443985</v>
      </c>
      <c r="K38" s="134">
        <f>'Hoja de Trabajo RETA'!R57</f>
        <v>-6.2842211924912808E-2</v>
      </c>
    </row>
    <row r="39" spans="2:11" s="141" customFormat="1" ht="21" customHeight="1" x14ac:dyDescent="0.25">
      <c r="B39" s="306"/>
      <c r="C39" s="140" t="s">
        <v>30</v>
      </c>
      <c r="D39" s="139">
        <f>'Hoja de Trabajo RETA'!E59</f>
        <v>12.758039933159626</v>
      </c>
      <c r="E39" s="134">
        <f>'Hoja de Trabajo RETA'!O59</f>
        <v>0.18961606995557254</v>
      </c>
      <c r="F39" s="139">
        <f>'Hoja de Trabajo RETA'!G59</f>
        <v>12.74578545470596</v>
      </c>
      <c r="G39" s="134">
        <f>'Hoja de Trabajo RETA'!P59</f>
        <v>0.13989684560648208</v>
      </c>
      <c r="H39" s="139">
        <f>'Hoja de Trabajo RETA'!I59</f>
        <v>11.292060124361464</v>
      </c>
      <c r="I39" s="134">
        <f>'Hoja de Trabajo RETA'!Q59</f>
        <v>0.19028097262999172</v>
      </c>
      <c r="J39" s="139">
        <f>'Hoja de Trabajo RETA'!K59</f>
        <v>12.368315193505854</v>
      </c>
      <c r="K39" s="134">
        <f>'Hoja de Trabajo RETA'!R59</f>
        <v>0.17813636535861596</v>
      </c>
    </row>
    <row r="40" spans="2:11" ht="21" customHeight="1" thickBot="1" x14ac:dyDescent="0.3">
      <c r="B40" s="307"/>
      <c r="C40" s="147" t="s">
        <v>31</v>
      </c>
      <c r="D40" s="148">
        <f>'Hoja de Trabajo RETA'!E61</f>
        <v>3.5118316223393715</v>
      </c>
      <c r="E40" s="143">
        <f>'Hoja de Trabajo RETA'!O61</f>
        <v>0.18629264639959867</v>
      </c>
      <c r="F40" s="148">
        <f>'Hoja de Trabajo RETA'!G61</f>
        <v>3.4663881001074053</v>
      </c>
      <c r="G40" s="143">
        <f>'Hoja de Trabajo RETA'!P61</f>
        <v>0.17250372691344301</v>
      </c>
      <c r="H40" s="148">
        <f>'Hoja de Trabajo RETA'!I61</f>
        <v>3.1331091998106833</v>
      </c>
      <c r="I40" s="143">
        <f>'Hoja de Trabajo RETA'!Q61</f>
        <v>0.17057255941622512</v>
      </c>
      <c r="J40" s="148">
        <f>'Hoja de Trabajo RETA'!K61</f>
        <v>3.4018639642201598</v>
      </c>
      <c r="K40" s="143">
        <f>'Hoja de Trabajo RETA'!R61</f>
        <v>0.17934397055428353</v>
      </c>
    </row>
    <row r="41" spans="2:11" ht="21" customHeight="1" x14ac:dyDescent="0.25">
      <c r="B41" s="305" t="s">
        <v>90</v>
      </c>
      <c r="C41" s="101" t="s">
        <v>84</v>
      </c>
      <c r="D41" s="145">
        <f>IF('Hoja de Trabajo RETA'!E62="","-",'Hoja de Trabajo RETA'!E62)</f>
        <v>7212</v>
      </c>
      <c r="E41" s="263" t="str">
        <f>'Hoja de Trabajo RETA'!O62</f>
        <v>-</v>
      </c>
      <c r="F41" s="145">
        <f>IF('Hoja de Trabajo RETA'!G62="","-",'Hoja de Trabajo RETA'!G62)</f>
        <v>2115</v>
      </c>
      <c r="G41" s="263" t="str">
        <f>'Hoja de Trabajo RETA'!P62</f>
        <v>-</v>
      </c>
      <c r="H41" s="145">
        <f>IF('Hoja de Trabajo RETA'!I62="","-",'Hoja de Trabajo RETA'!I62)</f>
        <v>3137</v>
      </c>
      <c r="I41" s="263" t="str">
        <f>'Hoja de Trabajo RETA'!Q62</f>
        <v>-</v>
      </c>
      <c r="J41" s="145">
        <f>IF('Hoja de Trabajo RETA'!K62=0,"-",'Hoja de Trabajo RETA'!K62)</f>
        <v>12464</v>
      </c>
      <c r="K41" s="263" t="str">
        <f>'Hoja de Trabajo RETA'!R62</f>
        <v>-</v>
      </c>
    </row>
    <row r="42" spans="2:11" ht="21" customHeight="1" x14ac:dyDescent="0.25">
      <c r="B42" s="306"/>
      <c r="C42" s="105" t="s">
        <v>20</v>
      </c>
      <c r="D42" s="264">
        <f>'Hoja de Trabajo RETA'!E65</f>
        <v>26.124725367584926</v>
      </c>
      <c r="E42" s="268" t="str">
        <f>'Hoja de Trabajo RETA'!O65</f>
        <v>-</v>
      </c>
      <c r="F42" s="264">
        <f>'Hoja de Trabajo RETA'!G65</f>
        <v>26.079099307159353</v>
      </c>
      <c r="G42" s="268" t="str">
        <f>'Hoja de Trabajo RETA'!P65</f>
        <v>-</v>
      </c>
      <c r="H42" s="136">
        <f>'Hoja de Trabajo RETA'!I65</f>
        <v>25.455243949289283</v>
      </c>
      <c r="I42" s="268" t="str">
        <f>'Hoja de Trabajo RETA'!Q65</f>
        <v>-</v>
      </c>
      <c r="J42" s="264">
        <f>'Hoja de Trabajo RETA'!K65</f>
        <v>25.947034724931722</v>
      </c>
      <c r="K42" s="268" t="str">
        <f>'Hoja de Trabajo RETA'!R65</f>
        <v>-</v>
      </c>
    </row>
    <row r="43" spans="2:11" ht="21" customHeight="1" x14ac:dyDescent="0.25">
      <c r="B43" s="306"/>
      <c r="C43" s="103" t="s">
        <v>91</v>
      </c>
      <c r="D43" s="266">
        <f>IF('Hoja de Trabajo RETA'!E66="","-",'Hoja de Trabajo RETA'!E66)</f>
        <v>1294</v>
      </c>
      <c r="E43" s="267" t="str">
        <f>'Hoja de Trabajo RETA'!O66</f>
        <v>-</v>
      </c>
      <c r="F43" s="266">
        <f>IF('Hoja de Trabajo RETA'!G66="","-",'Hoja de Trabajo RETA'!G66)</f>
        <v>425</v>
      </c>
      <c r="G43" s="267" t="str">
        <f>'Hoja de Trabajo RETA'!P66</f>
        <v>-</v>
      </c>
      <c r="H43" s="266">
        <f>IF('Hoja de Trabajo RETA'!I66="","-",'Hoja de Trabajo RETA'!I66)</f>
        <v>534</v>
      </c>
      <c r="I43" s="267" t="str">
        <f>'Hoja de Trabajo RETA'!Q66</f>
        <v>-</v>
      </c>
      <c r="J43" s="266">
        <f>IF('Hoja de Trabajo RETA'!K66=0,"-",'Hoja de Trabajo RETA'!K66)</f>
        <v>2253</v>
      </c>
      <c r="K43" s="267" t="str">
        <f>'Hoja de Trabajo RETA'!R66</f>
        <v>-</v>
      </c>
    </row>
    <row r="44" spans="2:11" ht="21" customHeight="1" x14ac:dyDescent="0.25">
      <c r="B44" s="306"/>
      <c r="C44" s="104" t="s">
        <v>87</v>
      </c>
      <c r="D44" s="264">
        <f>'Hoja de Trabajo RETA'!E67</f>
        <v>1.5144610874636977</v>
      </c>
      <c r="E44" s="268" t="str">
        <f>'Hoja de Trabajo RETA'!O67</f>
        <v>-</v>
      </c>
      <c r="F44" s="264">
        <f>'Hoja de Trabajo RETA'!G67</f>
        <v>1.0319590143937545</v>
      </c>
      <c r="G44" s="268" t="str">
        <f>'Hoja de Trabajo RETA'!P67</f>
        <v>-</v>
      </c>
      <c r="H44" s="264">
        <f>'Hoja de Trabajo RETA'!I67</f>
        <v>1.2805911048517136</v>
      </c>
      <c r="I44" s="268" t="str">
        <f>'Hoja de Trabajo RETA'!Q67</f>
        <v>-</v>
      </c>
      <c r="J44" s="264">
        <f>'Hoja de Trabajo RETA'!K67</f>
        <v>1.3458241013082481</v>
      </c>
      <c r="K44" s="268" t="str">
        <f>'Hoja de Trabajo RETA'!R67</f>
        <v>-</v>
      </c>
    </row>
    <row r="45" spans="2:11" ht="21" customHeight="1" x14ac:dyDescent="0.25">
      <c r="B45" s="306"/>
      <c r="C45" s="104" t="s">
        <v>89</v>
      </c>
      <c r="D45" s="149">
        <f>IF('Hoja de Trabajo RETA'!E68="","-",'Hoja de Trabajo RETA'!E68)</f>
        <v>0</v>
      </c>
      <c r="E45" s="268" t="str">
        <f>'Hoja de Trabajo RETA'!O68</f>
        <v>-</v>
      </c>
      <c r="F45" s="149">
        <f>IF('Hoja de Trabajo RETA'!G68="","-",'Hoja de Trabajo RETA'!G68)</f>
        <v>0</v>
      </c>
      <c r="G45" s="268" t="str">
        <f>'Hoja de Trabajo RETA'!P68</f>
        <v>-</v>
      </c>
      <c r="H45" s="149">
        <f>IF('Hoja de Trabajo RETA'!I68="","-",'Hoja de Trabajo RETA'!I68)</f>
        <v>0</v>
      </c>
      <c r="I45" s="268" t="str">
        <f>'Hoja de Trabajo RETA'!Q68</f>
        <v>-</v>
      </c>
      <c r="J45" s="149" t="str">
        <f>IF('Hoja de Trabajo RETA'!K68=0,"-",'Hoja de Trabajo RETA'!K68)</f>
        <v>-</v>
      </c>
      <c r="K45" s="268" t="str">
        <f>'Hoja de Trabajo RETA'!R68</f>
        <v>-</v>
      </c>
    </row>
    <row r="46" spans="2:11" ht="21" customHeight="1" thickBot="1" x14ac:dyDescent="0.3">
      <c r="B46" s="307"/>
      <c r="C46" s="106" t="s">
        <v>88</v>
      </c>
      <c r="D46" s="142">
        <f>'Hoja de Trabajo RETA'!E69</f>
        <v>0</v>
      </c>
      <c r="E46" s="269" t="str">
        <f>'Hoja de Trabajo RETA'!O69</f>
        <v>-</v>
      </c>
      <c r="F46" s="142">
        <f>'Hoja de Trabajo RETA'!G69</f>
        <v>0</v>
      </c>
      <c r="G46" s="269" t="str">
        <f>'Hoja de Trabajo RETA'!P69</f>
        <v>-</v>
      </c>
      <c r="H46" s="142">
        <f>'Hoja de Trabajo RETA'!I69</f>
        <v>0</v>
      </c>
      <c r="I46" s="269" t="str">
        <f>'Hoja de Trabajo RETA'!Q69</f>
        <v>-</v>
      </c>
      <c r="J46" s="142">
        <f>'Hoja de Trabajo RETA'!K69</f>
        <v>0</v>
      </c>
      <c r="K46" s="269" t="str">
        <f>'Hoja de Trabajo RETA'!R69</f>
        <v>-</v>
      </c>
    </row>
    <row r="48" spans="2:11" x14ac:dyDescent="0.25">
      <c r="C48" s="153" t="s">
        <v>43</v>
      </c>
    </row>
  </sheetData>
  <sheetProtection password="A490" sheet="1" objects="1" scenarios="1"/>
  <mergeCells count="11">
    <mergeCell ref="B41:B46"/>
    <mergeCell ref="B16:B31"/>
    <mergeCell ref="B32:B40"/>
    <mergeCell ref="H5:I5"/>
    <mergeCell ref="J5:K5"/>
    <mergeCell ref="H7:I7"/>
    <mergeCell ref="J7:K7"/>
    <mergeCell ref="D9:E14"/>
    <mergeCell ref="F9:G14"/>
    <mergeCell ref="H9:I14"/>
    <mergeCell ref="J9:K14"/>
  </mergeCells>
  <conditionalFormatting sqref="K25">
    <cfRule type="expression" dxfId="118" priority="25">
      <formula>K25&gt;0</formula>
    </cfRule>
  </conditionalFormatting>
  <conditionalFormatting sqref="K16:K24 K26:K36 K38:K40">
    <cfRule type="expression" dxfId="117" priority="62">
      <formula>K16="-"</formula>
    </cfRule>
  </conditionalFormatting>
  <conditionalFormatting sqref="K16:K17 K20 K32:K33 K35:K36">
    <cfRule type="expression" dxfId="116" priority="61">
      <formula>K16&lt;0</formula>
    </cfRule>
  </conditionalFormatting>
  <conditionalFormatting sqref="K18:K19 K21:K24 K34 K38:K40 K26:K31">
    <cfRule type="expression" dxfId="115" priority="60">
      <formula>K18&gt;0</formula>
    </cfRule>
  </conditionalFormatting>
  <conditionalFormatting sqref="E16:E17 E20 E32:E33 E35:E36">
    <cfRule type="expression" dxfId="114" priority="59">
      <formula>E16&lt;0</formula>
    </cfRule>
  </conditionalFormatting>
  <conditionalFormatting sqref="E18:E19 E21:E24 E34 E38:E40 E26:E31">
    <cfRule type="expression" dxfId="113" priority="58">
      <formula>E18&gt;0</formula>
    </cfRule>
  </conditionalFormatting>
  <conditionalFormatting sqref="E16:E24 E26:E36 E38:E40">
    <cfRule type="expression" dxfId="112" priority="57">
      <formula>E16="-"</formula>
    </cfRule>
  </conditionalFormatting>
  <conditionalFormatting sqref="G16:G17 G20 G32:G33 G35:G36">
    <cfRule type="expression" dxfId="111" priority="56">
      <formula>G16&lt;0</formula>
    </cfRule>
  </conditionalFormatting>
  <conditionalFormatting sqref="G18:G19 G21:G24 G34 G38:G40 G26:G31">
    <cfRule type="expression" dxfId="110" priority="55">
      <formula>G18&gt;0</formula>
    </cfRule>
  </conditionalFormatting>
  <conditionalFormatting sqref="G16:G24 G26:G36 G38:G40">
    <cfRule type="expression" dxfId="109" priority="54">
      <formula>G16="-"</formula>
    </cfRule>
  </conditionalFormatting>
  <conditionalFormatting sqref="I16:I17 I20 I32:I33 I35:I36">
    <cfRule type="expression" dxfId="108" priority="53">
      <formula>I16&lt;0</formula>
    </cfRule>
  </conditionalFormatting>
  <conditionalFormatting sqref="I18:I19 I21:I24 I34 I38:I40 I26:I31">
    <cfRule type="expression" dxfId="107" priority="52">
      <formula>I18&gt;0</formula>
    </cfRule>
  </conditionalFormatting>
  <conditionalFormatting sqref="I16:I24 I26:I36 I38:I40">
    <cfRule type="expression" dxfId="106" priority="51">
      <formula>I16="-"</formula>
    </cfRule>
  </conditionalFormatting>
  <conditionalFormatting sqref="E16 G16 I16">
    <cfRule type="expression" dxfId="105" priority="50">
      <formula>E16=MAX($E$16,$G$16,$I$16)</formula>
    </cfRule>
  </conditionalFormatting>
  <conditionalFormatting sqref="E17 G17 I17">
    <cfRule type="expression" dxfId="104" priority="49">
      <formula>E17=MAX($E$17,$G$17,$I$17)</formula>
    </cfRule>
  </conditionalFormatting>
  <conditionalFormatting sqref="E20 G20 I20">
    <cfRule type="expression" dxfId="103" priority="48">
      <formula>E20=MAX($E$20,$G$20,$I$20)</formula>
    </cfRule>
  </conditionalFormatting>
  <conditionalFormatting sqref="E32 G32 I32">
    <cfRule type="expression" dxfId="102" priority="47">
      <formula>E32=MAX($E$32,$G$32,$I$32)</formula>
    </cfRule>
  </conditionalFormatting>
  <conditionalFormatting sqref="E33 G33 I33">
    <cfRule type="expression" dxfId="101" priority="46">
      <formula>E33=MAX($E$33,$G$33,$I$33)</formula>
    </cfRule>
  </conditionalFormatting>
  <conditionalFormatting sqref="E35 G35 I35">
    <cfRule type="expression" dxfId="100" priority="45">
      <formula>E35=MAX($E$35,$G$35,$I$35)</formula>
    </cfRule>
  </conditionalFormatting>
  <conditionalFormatting sqref="E36 G36 I36">
    <cfRule type="expression" dxfId="99" priority="44">
      <formula>E36=MAX($E$36,$G$36,$I$36)</formula>
    </cfRule>
  </conditionalFormatting>
  <conditionalFormatting sqref="E18 G18 I18">
    <cfRule type="expression" dxfId="98" priority="43">
      <formula>E18=MIN($E$18,$G$18,$I$18)</formula>
    </cfRule>
  </conditionalFormatting>
  <conditionalFormatting sqref="E19 G19 I19">
    <cfRule type="expression" dxfId="97" priority="42">
      <formula>E19=MIN($E$19,$G$19,$I$19)</formula>
    </cfRule>
  </conditionalFormatting>
  <conditionalFormatting sqref="E21 G21 I21">
    <cfRule type="expression" dxfId="96" priority="41">
      <formula>E21=MIN($E$21,$G$21,$I$21)</formula>
    </cfRule>
  </conditionalFormatting>
  <conditionalFormatting sqref="E22 G22 I22">
    <cfRule type="expression" dxfId="95" priority="40">
      <formula>E22=MIN($E$22,$G$22,$I$22)</formula>
    </cfRule>
  </conditionalFormatting>
  <conditionalFormatting sqref="E23 G23 I23">
    <cfRule type="expression" dxfId="94" priority="39">
      <formula>E23=MIN($E$23,$G$23,$I$23)</formula>
    </cfRule>
  </conditionalFormatting>
  <conditionalFormatting sqref="E24 G24 I24">
    <cfRule type="expression" dxfId="93" priority="38">
      <formula>E24=MIN($E$24,$G$24,$I$24)</formula>
    </cfRule>
  </conditionalFormatting>
  <conditionalFormatting sqref="E26 G26 I26">
    <cfRule type="expression" dxfId="92" priority="37">
      <formula>E26=MIN($E$26,$G$26,$I$26)</formula>
    </cfRule>
  </conditionalFormatting>
  <conditionalFormatting sqref="E27 G27 I27">
    <cfRule type="expression" dxfId="91" priority="36">
      <formula>E27=MIN($E$27,$G$27,$I$27)</formula>
    </cfRule>
  </conditionalFormatting>
  <conditionalFormatting sqref="E28 G28 I28">
    <cfRule type="expression" dxfId="90" priority="35">
      <formula>E28=MIN($E$28,$G$28,$I$28)</formula>
    </cfRule>
  </conditionalFormatting>
  <conditionalFormatting sqref="E29 G29 I29">
    <cfRule type="expression" dxfId="89" priority="34">
      <formula>E29=MIN($E$29,$G$29,$I$29)</formula>
    </cfRule>
  </conditionalFormatting>
  <conditionalFormatting sqref="E30 G30 I30">
    <cfRule type="expression" dxfId="88" priority="33">
      <formula>E30=MIN($E$30,$G$30,$I$30)</formula>
    </cfRule>
  </conditionalFormatting>
  <conditionalFormatting sqref="E31 G31 I31">
    <cfRule type="expression" dxfId="87" priority="32">
      <formula>E31=MIN($E$31,$G$31,$I$31)</formula>
    </cfRule>
  </conditionalFormatting>
  <conditionalFormatting sqref="E34 G34 I34">
    <cfRule type="expression" dxfId="86" priority="31">
      <formula>E34=MIN($E$34,$G$34,$I$34)</formula>
    </cfRule>
  </conditionalFormatting>
  <conditionalFormatting sqref="E38 G38 I38">
    <cfRule type="expression" dxfId="85" priority="30">
      <formula>E38=MIN($E$38,$G$38,$I$38)</formula>
    </cfRule>
  </conditionalFormatting>
  <conditionalFormatting sqref="E39 G39 I39">
    <cfRule type="expression" dxfId="84" priority="29">
      <formula>E39=MIN($E$39,$G$39,$I$39)</formula>
    </cfRule>
  </conditionalFormatting>
  <conditionalFormatting sqref="E40 G40 I40">
    <cfRule type="expression" dxfId="83" priority="28">
      <formula>E40=MIN($E$40,$G$40,$I$40)</formula>
    </cfRule>
  </conditionalFormatting>
  <conditionalFormatting sqref="K25">
    <cfRule type="expression" dxfId="82" priority="26">
      <formula>K25="-"</formula>
    </cfRule>
  </conditionalFormatting>
  <conditionalFormatting sqref="E25">
    <cfRule type="expression" dxfId="81" priority="24">
      <formula>E25&gt;0</formula>
    </cfRule>
  </conditionalFormatting>
  <conditionalFormatting sqref="E25">
    <cfRule type="expression" dxfId="80" priority="23">
      <formula>E25="-"</formula>
    </cfRule>
  </conditionalFormatting>
  <conditionalFormatting sqref="G25">
    <cfRule type="expression" dxfId="79" priority="22">
      <formula>G25&gt;0</formula>
    </cfRule>
  </conditionalFormatting>
  <conditionalFormatting sqref="G25">
    <cfRule type="expression" dxfId="78" priority="21">
      <formula>G25="-"</formula>
    </cfRule>
  </conditionalFormatting>
  <conditionalFormatting sqref="I25">
    <cfRule type="expression" dxfId="77" priority="20">
      <formula>I25&gt;0</formula>
    </cfRule>
  </conditionalFormatting>
  <conditionalFormatting sqref="I25">
    <cfRule type="expression" dxfId="76" priority="19">
      <formula>I25="-"</formula>
    </cfRule>
  </conditionalFormatting>
  <conditionalFormatting sqref="E25 G25 I25">
    <cfRule type="expression" dxfId="75" priority="27">
      <formula>E25=MIN($E$25,$G$25,$I$25)</formula>
    </cfRule>
  </conditionalFormatting>
  <conditionalFormatting sqref="E37">
    <cfRule type="expression" dxfId="74" priority="9">
      <formula>E37&gt;0</formula>
    </cfRule>
  </conditionalFormatting>
  <conditionalFormatting sqref="E37">
    <cfRule type="expression" dxfId="73" priority="8">
      <formula>E37="-"</formula>
    </cfRule>
  </conditionalFormatting>
  <conditionalFormatting sqref="G37">
    <cfRule type="expression" dxfId="72" priority="7">
      <formula>G37&gt;0</formula>
    </cfRule>
  </conditionalFormatting>
  <conditionalFormatting sqref="G37">
    <cfRule type="expression" dxfId="71" priority="6">
      <formula>G37="-"</formula>
    </cfRule>
  </conditionalFormatting>
  <conditionalFormatting sqref="I37">
    <cfRule type="expression" dxfId="70" priority="5">
      <formula>I37&gt;0</formula>
    </cfRule>
  </conditionalFormatting>
  <conditionalFormatting sqref="I37">
    <cfRule type="expression" dxfId="69" priority="4">
      <formula>I37="-"</formula>
    </cfRule>
  </conditionalFormatting>
  <conditionalFormatting sqref="K37">
    <cfRule type="expression" dxfId="68" priority="3">
      <formula>K37&gt;0</formula>
    </cfRule>
  </conditionalFormatting>
  <conditionalFormatting sqref="K37">
    <cfRule type="expression" dxfId="67" priority="2">
      <formula>K37="-"</formula>
    </cfRule>
  </conditionalFormatting>
  <conditionalFormatting sqref="E37 G37 I37">
    <cfRule type="expression" dxfId="66" priority="1">
      <formula>E37=MIN($E$37,$G$37,$I$37)</formula>
    </cfRule>
  </conditionalFormatting>
  <pageMargins left="0.24" right="0.24" top="0.74803149606299213" bottom="0.74803149606299213" header="0.31496062992125984" footer="0.31496062992125984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L59"/>
  <sheetViews>
    <sheetView tabSelected="1" zoomScaleNormal="100" workbookViewId="0">
      <pane ySplit="15" topLeftCell="A16" activePane="bottomLeft" state="frozen"/>
      <selection activeCell="D51" sqref="D51"/>
      <selection pane="bottomLeft" activeCell="C15" sqref="C15"/>
    </sheetView>
  </sheetViews>
  <sheetFormatPr baseColWidth="10" defaultColWidth="11.42578125" defaultRowHeight="15" x14ac:dyDescent="0.25"/>
  <cols>
    <col min="1" max="1" width="2.85546875" style="108" customWidth="1"/>
    <col min="2" max="2" width="12" style="107" customWidth="1"/>
    <col min="3" max="3" width="47.28515625" style="108" bestFit="1" customWidth="1"/>
    <col min="4" max="4" width="13.7109375" style="108" customWidth="1"/>
    <col min="5" max="5" width="9.28515625" style="108" customWidth="1"/>
    <col min="6" max="6" width="13.7109375" style="108" customWidth="1"/>
    <col min="7" max="7" width="9.28515625" style="108" customWidth="1"/>
    <col min="8" max="8" width="13.7109375" style="108" customWidth="1"/>
    <col min="9" max="9" width="9.28515625" style="108" customWidth="1"/>
    <col min="10" max="10" width="13.7109375" style="108" customWidth="1"/>
    <col min="11" max="11" width="9.28515625" style="108" customWidth="1"/>
    <col min="12" max="16384" width="11.42578125" style="108"/>
  </cols>
  <sheetData>
    <row r="1" spans="2:12" ht="9.75" customHeight="1" x14ac:dyDescent="0.25"/>
    <row r="2" spans="2:12" s="113" customFormat="1" ht="48" customHeight="1" thickBot="1" x14ac:dyDescent="0.3">
      <c r="B2" s="109" t="s">
        <v>63</v>
      </c>
      <c r="C2" s="110"/>
      <c r="D2" s="111"/>
      <c r="E2" s="112" t="s">
        <v>64</v>
      </c>
      <c r="F2" s="110"/>
      <c r="G2" s="110"/>
      <c r="H2" s="110"/>
      <c r="I2" s="110"/>
      <c r="J2" s="110"/>
      <c r="K2" s="110"/>
    </row>
    <row r="3" spans="2:12" ht="9.1999999999999993" customHeight="1" thickTop="1" x14ac:dyDescent="0.25">
      <c r="L3" s="114"/>
    </row>
    <row r="4" spans="2:12" s="114" customFormat="1" ht="21.75" customHeight="1" x14ac:dyDescent="0.2">
      <c r="C4" s="115"/>
    </row>
    <row r="5" spans="2:12" s="114" customFormat="1" ht="28.7" x14ac:dyDescent="0.45">
      <c r="B5" s="116" t="s">
        <v>68</v>
      </c>
      <c r="C5" s="115"/>
      <c r="H5" s="313" t="s">
        <v>12</v>
      </c>
      <c r="I5" s="313"/>
      <c r="J5" s="312" t="str">
        <f>'Hoja de Trabajo RG'!J5:K5</f>
        <v>Mayo</v>
      </c>
      <c r="K5" s="312"/>
    </row>
    <row r="6" spans="2:12" s="114" customFormat="1" ht="5.25" customHeight="1" x14ac:dyDescent="0.2">
      <c r="B6" s="115"/>
      <c r="C6" s="115"/>
      <c r="H6" s="117"/>
      <c r="I6" s="117"/>
      <c r="J6" s="118"/>
      <c r="K6" s="118"/>
    </row>
    <row r="7" spans="2:12" s="114" customFormat="1" ht="18.75" x14ac:dyDescent="0.2">
      <c r="B7" s="115"/>
      <c r="C7" s="115"/>
      <c r="H7" s="313" t="s">
        <v>32</v>
      </c>
      <c r="I7" s="313"/>
      <c r="J7" s="312" t="str">
        <f>'Hoja de Trabajo RG'!J7:K7</f>
        <v>Febrero</v>
      </c>
      <c r="K7" s="312"/>
    </row>
    <row r="8" spans="2:12" ht="14.25" customHeight="1" thickBot="1" x14ac:dyDescent="0.4">
      <c r="B8" s="119"/>
    </row>
    <row r="9" spans="2:12" x14ac:dyDescent="0.25">
      <c r="D9" s="314"/>
      <c r="E9" s="315"/>
      <c r="F9" s="344"/>
      <c r="G9" s="345"/>
      <c r="H9" s="326"/>
      <c r="I9" s="327"/>
      <c r="J9" s="332"/>
      <c r="K9" s="333"/>
    </row>
    <row r="10" spans="2:12" x14ac:dyDescent="0.25">
      <c r="D10" s="316"/>
      <c r="E10" s="317"/>
      <c r="F10" s="346"/>
      <c r="G10" s="347"/>
      <c r="H10" s="328"/>
      <c r="I10" s="329"/>
      <c r="J10" s="334"/>
      <c r="K10" s="335"/>
    </row>
    <row r="11" spans="2:12" x14ac:dyDescent="0.25">
      <c r="D11" s="316"/>
      <c r="E11" s="317"/>
      <c r="F11" s="346"/>
      <c r="G11" s="347"/>
      <c r="H11" s="328"/>
      <c r="I11" s="329"/>
      <c r="J11" s="334"/>
      <c r="K11" s="335"/>
    </row>
    <row r="12" spans="2:12" x14ac:dyDescent="0.25">
      <c r="D12" s="316"/>
      <c r="E12" s="317"/>
      <c r="F12" s="346"/>
      <c r="G12" s="347"/>
      <c r="H12" s="328"/>
      <c r="I12" s="329"/>
      <c r="J12" s="334"/>
      <c r="K12" s="335"/>
    </row>
    <row r="13" spans="2:12" x14ac:dyDescent="0.25">
      <c r="D13" s="316"/>
      <c r="E13" s="317"/>
      <c r="F13" s="346"/>
      <c r="G13" s="347"/>
      <c r="H13" s="328"/>
      <c r="I13" s="329"/>
      <c r="J13" s="334"/>
      <c r="K13" s="335"/>
    </row>
    <row r="14" spans="2:12" ht="15.75" thickBot="1" x14ac:dyDescent="0.3">
      <c r="D14" s="318"/>
      <c r="E14" s="319"/>
      <c r="F14" s="348"/>
      <c r="G14" s="349"/>
      <c r="H14" s="330"/>
      <c r="I14" s="331"/>
      <c r="J14" s="336"/>
      <c r="K14" s="337"/>
    </row>
    <row r="15" spans="2:12" s="126" customFormat="1" ht="28.7" customHeight="1" thickBot="1" x14ac:dyDescent="0.3">
      <c r="B15" s="120"/>
      <c r="C15" s="121" t="s">
        <v>0</v>
      </c>
      <c r="D15" s="122">
        <v>2020</v>
      </c>
      <c r="E15" s="123" t="s">
        <v>1</v>
      </c>
      <c r="F15" s="124">
        <v>2020</v>
      </c>
      <c r="G15" s="125" t="s">
        <v>1</v>
      </c>
      <c r="H15" s="124">
        <v>2020</v>
      </c>
      <c r="I15" s="125" t="s">
        <v>1</v>
      </c>
      <c r="J15" s="122">
        <v>2020</v>
      </c>
      <c r="K15" s="125" t="s">
        <v>1</v>
      </c>
    </row>
    <row r="16" spans="2:12" s="126" customFormat="1" ht="21" customHeight="1" thickTop="1" thickBot="1" x14ac:dyDescent="0.3">
      <c r="B16" s="120"/>
      <c r="C16" s="127" t="s">
        <v>67</v>
      </c>
      <c r="D16" s="128">
        <f>IF('Hoja de Trabajo TOTAL'!E16=0,"-",'Hoja de Trabajo TOTAL'!E16)</f>
        <v>0.14724838472977081</v>
      </c>
      <c r="E16" s="129">
        <f>'Hoja de Trabajo TOTAL'!O16</f>
        <v>6.3618572460285266E-2</v>
      </c>
      <c r="F16" s="128">
        <f>IF('Hoja de Trabajo TOTAL'!G16=0,"-",'Hoja de Trabajo TOTAL'!G16)</f>
        <v>7.6382687976431024E-2</v>
      </c>
      <c r="G16" s="129">
        <f>'Hoja de Trabajo TOTAL'!P16</f>
        <v>3.1783534437634868E-2</v>
      </c>
      <c r="H16" s="128">
        <f>IF('Hoja de Trabajo TOTAL'!I16=0,"-",'Hoja de Trabajo TOTAL'!I16)</f>
        <v>7.6746610864366779E-2</v>
      </c>
      <c r="I16" s="129">
        <f>'Hoja de Trabajo TOTAL'!Q16</f>
        <v>4.7097696886149953E-2</v>
      </c>
      <c r="J16" s="128">
        <f>IF('Hoja de Trabajo TOTAL'!K16=0,"-",'Hoja de Trabajo TOTAL'!K16)</f>
        <v>0.30037768357056865</v>
      </c>
      <c r="K16" s="129">
        <f>'Hoja de Trabajo TOTAL'!R16</f>
        <v>5.1134093526840618E-2</v>
      </c>
    </row>
    <row r="17" spans="2:11" ht="21" customHeight="1" thickTop="1" x14ac:dyDescent="0.25">
      <c r="B17" s="338" t="s">
        <v>9</v>
      </c>
      <c r="C17" s="130" t="s">
        <v>2</v>
      </c>
      <c r="D17" s="131">
        <f>IF('Hoja de Trabajo TOTAL'!E17=0,"-",'Hoja de Trabajo TOTAL'!E17)</f>
        <v>2729218</v>
      </c>
      <c r="E17" s="132">
        <f>'Hoja de Trabajo TOTAL'!O17</f>
        <v>1.6369730912563062E-2</v>
      </c>
      <c r="F17" s="131">
        <f>IF('Hoja de Trabajo TOTAL'!G17=0,"-",'Hoja de Trabajo TOTAL'!G17)</f>
        <v>1418416</v>
      </c>
      <c r="G17" s="132">
        <f>'Hoja de Trabajo TOTAL'!P17</f>
        <v>-1.3454948353724993E-2</v>
      </c>
      <c r="H17" s="131">
        <f>IF('Hoja de Trabajo TOTAL'!I17=0,"-",'Hoja de Trabajo TOTAL'!I17)</f>
        <v>1423993</v>
      </c>
      <c r="I17" s="132">
        <f>'Hoja de Trabajo TOTAL'!Q17</f>
        <v>-1.0813490461307716E-4</v>
      </c>
      <c r="J17" s="131">
        <f>IF('Hoja de Trabajo TOTAL'!K17=0,"-",'Hoja de Trabajo TOTAL'!K17)</f>
        <v>5571627</v>
      </c>
      <c r="K17" s="132">
        <f>'Hoja de Trabajo TOTAL'!R17</f>
        <v>4.4090958829630031E-3</v>
      </c>
    </row>
    <row r="18" spans="2:11" s="135" customFormat="1" ht="21" customHeight="1" x14ac:dyDescent="0.25">
      <c r="B18" s="339"/>
      <c r="C18" s="102" t="s">
        <v>35</v>
      </c>
      <c r="D18" s="133">
        <f>IF('Hoja de Trabajo TOTAL'!E18=0,"-",'Hoja de Trabajo TOTAL'!E18)</f>
        <v>227518338.80000001</v>
      </c>
      <c r="E18" s="134">
        <f>'Hoja de Trabajo TOTAL'!O18</f>
        <v>9.8608378815391279E-2</v>
      </c>
      <c r="F18" s="133">
        <f>IF('Hoja de Trabajo TOTAL'!G18=0,"-",'Hoja de Trabajo TOTAL'!G18)</f>
        <v>120181408</v>
      </c>
      <c r="G18" s="134">
        <f>'Hoja de Trabajo TOTAL'!P18</f>
        <v>9.530537002938215E-2</v>
      </c>
      <c r="H18" s="133">
        <f>IF('Hoja de Trabajo TOTAL'!I18=0,"-",'Hoja de Trabajo TOTAL'!I18)</f>
        <v>110520863</v>
      </c>
      <c r="I18" s="134">
        <f>'Hoja de Trabajo TOTAL'!Q18</f>
        <v>8.1939540237826902E-2</v>
      </c>
      <c r="J18" s="133">
        <f>IF('Hoja de Trabajo TOTAL'!K18=0,"-",'Hoja de Trabajo TOTAL'!K18)</f>
        <v>458220609.80000001</v>
      </c>
      <c r="K18" s="134">
        <f>'Hoja de Trabajo TOTAL'!R18</f>
        <v>9.3679279294986331E-2</v>
      </c>
    </row>
    <row r="19" spans="2:11" s="137" customFormat="1" ht="21" customHeight="1" x14ac:dyDescent="0.25">
      <c r="B19" s="339"/>
      <c r="C19" s="105" t="s">
        <v>48</v>
      </c>
      <c r="D19" s="136">
        <f>'Hoja de Trabajo TOTAL'!E20</f>
        <v>0.12825064143796394</v>
      </c>
      <c r="E19" s="134">
        <f>'Hoja de Trabajo TOTAL'!O20</f>
        <v>-3.2455412643804145E-2</v>
      </c>
      <c r="F19" s="136">
        <f>'Hoja de Trabajo TOTAL'!G20</f>
        <v>0.11798418104737132</v>
      </c>
      <c r="G19" s="134">
        <f>'Hoja de Trabajo TOTAL'!P20</f>
        <v>4.9558319127346769E-3</v>
      </c>
      <c r="H19" s="136">
        <f>'Hoja de Trabajo TOTAL'!I20</f>
        <v>0.12188397406922166</v>
      </c>
      <c r="I19" s="134">
        <f>'Hoja de Trabajo TOTAL'!Q20</f>
        <v>6.8892661392710414E-2</v>
      </c>
      <c r="J19" s="136">
        <f>'Hoja de Trabajo TOTAL'!K20</f>
        <v>0.12402235664346148</v>
      </c>
      <c r="K19" s="134">
        <f>'Hoja de Trabajo TOTAL'!R20</f>
        <v>-3.7184081518863921E-4</v>
      </c>
    </row>
    <row r="20" spans="2:11" s="137" customFormat="1" ht="21" customHeight="1" x14ac:dyDescent="0.25">
      <c r="B20" s="339"/>
      <c r="C20" s="105" t="s">
        <v>49</v>
      </c>
      <c r="D20" s="136">
        <f>'Hoja de Trabajo TOTAL'!E22</f>
        <v>0.17698072257549377</v>
      </c>
      <c r="E20" s="134">
        <f>'Hoja de Trabajo TOTAL'!O22</f>
        <v>-4.5995472977563831E-2</v>
      </c>
      <c r="F20" s="136">
        <f>'Hoja de Trabajo TOTAL'!G22</f>
        <v>0.23053584960495721</v>
      </c>
      <c r="G20" s="134">
        <f>'Hoja de Trabajo TOTAL'!P22</f>
        <v>0.49627321796580393</v>
      </c>
      <c r="H20" s="136">
        <f>'Hoja de Trabajo TOTAL'!I22</f>
        <v>0.14410990438972596</v>
      </c>
      <c r="I20" s="134">
        <f>'Hoja de Trabajo TOTAL'!Q22</f>
        <v>1.703265173918143</v>
      </c>
      <c r="J20" s="136">
        <f>'Hoja de Trabajo TOTAL'!K22</f>
        <v>0.18309877863551305</v>
      </c>
      <c r="K20" s="134">
        <f>'Hoja de Trabajo TOTAL'!R22</f>
        <v>0.26234404926108129</v>
      </c>
    </row>
    <row r="21" spans="2:11" s="137" customFormat="1" ht="21" customHeight="1" x14ac:dyDescent="0.25">
      <c r="B21" s="339"/>
      <c r="C21" s="105" t="s">
        <v>34</v>
      </c>
      <c r="D21" s="136">
        <f>'Hoja de Trabajo TOTAL'!E25</f>
        <v>0.18183488204767081</v>
      </c>
      <c r="E21" s="134">
        <f>'Hoja de Trabajo TOTAL'!O25</f>
        <v>0.11045897569487595</v>
      </c>
      <c r="F21" s="136">
        <f>'Hoja de Trabajo TOTAL'!G25</f>
        <v>0.25248460246360582</v>
      </c>
      <c r="G21" s="134">
        <f>'Hoja de Trabajo TOTAL'!P25</f>
        <v>5.88056080633612E-2</v>
      </c>
      <c r="H21" s="136">
        <f>'Hoja de Trabajo TOTAL'!I25</f>
        <v>0.16518095238095237</v>
      </c>
      <c r="I21" s="134">
        <f>'Hoja de Trabajo TOTAL'!Q25</f>
        <v>-8.2247437191412837E-2</v>
      </c>
      <c r="J21" s="136">
        <f>'Hoja de Trabajo TOTAL'!K25</f>
        <v>0.19206296802076925</v>
      </c>
      <c r="K21" s="134">
        <f>'Hoja de Trabajo TOTAL'!R25</f>
        <v>3.8734722711663616E-2</v>
      </c>
    </row>
    <row r="22" spans="2:11" s="137" customFormat="1" ht="21" customHeight="1" x14ac:dyDescent="0.25">
      <c r="B22" s="339"/>
      <c r="C22" s="105" t="s">
        <v>8</v>
      </c>
      <c r="D22" s="136">
        <f>'Hoja de Trabajo TOTAL'!E28</f>
        <v>0.47452839072161712</v>
      </c>
      <c r="E22" s="134">
        <f>'Hoja de Trabajo TOTAL'!O28</f>
        <v>-3.3953222236871583E-2</v>
      </c>
      <c r="F22" s="136">
        <f>'Hoja de Trabajo TOTAL'!G28</f>
        <v>0.49082962907623923</v>
      </c>
      <c r="G22" s="134">
        <f>'Hoja de Trabajo TOTAL'!P28</f>
        <v>1.8877382698208569E-2</v>
      </c>
      <c r="H22" s="136">
        <f>'Hoja de Trabajo TOTAL'!I28</f>
        <v>0.51890724346688566</v>
      </c>
      <c r="I22" s="134">
        <f>'Hoja de Trabajo TOTAL'!Q28</f>
        <v>2.0793223843341372E-2</v>
      </c>
      <c r="J22" s="136">
        <f>'Hoja de Trabajo TOTAL'!K28</f>
        <v>0.48989137483787287</v>
      </c>
      <c r="K22" s="134">
        <f>'Hoja de Trabajo TOTAL'!R28</f>
        <v>-7.4249895371208893E-3</v>
      </c>
    </row>
    <row r="23" spans="2:11" ht="21" customHeight="1" x14ac:dyDescent="0.25">
      <c r="B23" s="339"/>
      <c r="C23" s="138" t="s">
        <v>19</v>
      </c>
      <c r="D23" s="139">
        <f>'Hoja de Trabajo TOTAL'!E29</f>
        <v>2.6588715155769895</v>
      </c>
      <c r="E23" s="134">
        <f>'Hoja de Trabajo TOTAL'!O29</f>
        <v>-0.30835542166626151</v>
      </c>
      <c r="F23" s="139">
        <f>'Hoja de Trabajo TOTAL'!G29</f>
        <v>2.2233251739969093</v>
      </c>
      <c r="G23" s="134">
        <f>'Hoja de Trabajo TOTAL'!P29</f>
        <v>-0.3221776451461047</v>
      </c>
      <c r="H23" s="139">
        <f>'Hoja de Trabajo TOTAL'!I29</f>
        <v>2.8747894125884046</v>
      </c>
      <c r="I23" s="134">
        <f>'Hoja de Trabajo TOTAL'!Q29</f>
        <v>-0.27890921686859094</v>
      </c>
      <c r="J23" s="139">
        <f>'Hoja de Trabajo TOTAL'!K29</f>
        <v>2.603174979229586</v>
      </c>
      <c r="K23" s="134">
        <f>'Hoja de Trabajo TOTAL'!R29</f>
        <v>-0.30296093818867598</v>
      </c>
    </row>
    <row r="24" spans="2:11" ht="21" customHeight="1" x14ac:dyDescent="0.25">
      <c r="B24" s="339"/>
      <c r="C24" s="138" t="s">
        <v>20</v>
      </c>
      <c r="D24" s="139">
        <f>'Hoja de Trabajo TOTAL'!E32</f>
        <v>48.194277803114204</v>
      </c>
      <c r="E24" s="134">
        <f>'Hoja de Trabajo TOTAL'!O32</f>
        <v>0.20038916897967021</v>
      </c>
      <c r="F24" s="139">
        <f>'Hoja de Trabajo TOTAL'!G32</f>
        <v>45.236648701616858</v>
      </c>
      <c r="G24" s="134">
        <f>'Hoja de Trabajo TOTAL'!P32</f>
        <v>0.22502723246639386</v>
      </c>
      <c r="H24" s="139">
        <f>'Hoja de Trabajo TOTAL'!I32</f>
        <v>39.513121161362371</v>
      </c>
      <c r="I24" s="134">
        <f>'Hoja de Trabajo TOTAL'!Q32</f>
        <v>0.13044134201144195</v>
      </c>
      <c r="J24" s="139">
        <f>'Hoja de Trabajo TOTAL'!K32</f>
        <v>45.056239066157445</v>
      </c>
      <c r="K24" s="134">
        <f>'Hoja de Trabajo TOTAL'!R32</f>
        <v>0.18746968448963303</v>
      </c>
    </row>
    <row r="25" spans="2:11" ht="21" customHeight="1" x14ac:dyDescent="0.25">
      <c r="B25" s="339"/>
      <c r="C25" s="138" t="s">
        <v>30</v>
      </c>
      <c r="D25" s="139">
        <f>'Hoja de Trabajo TOTAL'!E34</f>
        <v>1.3574736792736968</v>
      </c>
      <c r="E25" s="134">
        <f>'Hoja de Trabajo TOTAL'!O34</f>
        <v>-6.1429351148250246E-2</v>
      </c>
      <c r="F25" s="139">
        <f>'Hoja de Trabajo TOTAL'!G34</f>
        <v>1.222399070512459</v>
      </c>
      <c r="G25" s="134">
        <f>'Hoja de Trabajo TOTAL'!P34</f>
        <v>-9.1307355368060616E-2</v>
      </c>
      <c r="H25" s="139">
        <f>'Hoja de Trabajo TOTAL'!I34</f>
        <v>1.3148542162777486</v>
      </c>
      <c r="I25" s="134">
        <f>'Hoja de Trabajo TOTAL'!Q34</f>
        <v>5.7285992213882454E-2</v>
      </c>
      <c r="J25" s="139">
        <f>'Hoja de Trabajo TOTAL'!K34</f>
        <v>1.3121939426311202</v>
      </c>
      <c r="K25" s="134">
        <f>'Hoja de Trabajo TOTAL'!R34</f>
        <v>-4.0847494110763452E-2</v>
      </c>
    </row>
    <row r="26" spans="2:11" ht="21" customHeight="1" x14ac:dyDescent="0.25">
      <c r="B26" s="339"/>
      <c r="C26" s="138" t="s">
        <v>69</v>
      </c>
      <c r="D26" s="139">
        <f>'Hoja de Trabajo TOTAL'!E36</f>
        <v>14.265555408563744</v>
      </c>
      <c r="E26" s="134">
        <f>'Hoja de Trabajo TOTAL'!O36</f>
        <v>0.27709319760605755</v>
      </c>
      <c r="F26" s="139">
        <f>'Hoja de Trabajo TOTAL'!G36</f>
        <v>10.391298833079656</v>
      </c>
      <c r="G26" s="134">
        <f>'Hoja de Trabajo TOTAL'!P36</f>
        <v>0.10997429890835009</v>
      </c>
      <c r="H26" s="139">
        <f>'Hoja de Trabajo TOTAL'!I36</f>
        <v>12.152879560688673</v>
      </c>
      <c r="I26" s="134">
        <f>'Hoja de Trabajo TOTAL'!Q36</f>
        <v>0.2803889631495799</v>
      </c>
      <c r="J26" s="139">
        <f>'Hoja de Trabajo TOTAL'!K36</f>
        <v>12.826877147695244</v>
      </c>
      <c r="K26" s="134">
        <f>'Hoja de Trabajo TOTAL'!R36</f>
        <v>0.24550630439586307</v>
      </c>
    </row>
    <row r="27" spans="2:11" s="141" customFormat="1" ht="21" customHeight="1" x14ac:dyDescent="0.25">
      <c r="B27" s="339"/>
      <c r="C27" s="140" t="s">
        <v>45</v>
      </c>
      <c r="D27" s="139">
        <f>'Hoja de Trabajo TOTAL'!E37</f>
        <v>0.379302789297154</v>
      </c>
      <c r="E27" s="134">
        <f>'Hoja de Trabajo TOTAL'!O37</f>
        <v>-0.11670541384887255</v>
      </c>
      <c r="F27" s="139">
        <f>'Hoja de Trabajo TOTAL'!G37</f>
        <v>0.23103236286110704</v>
      </c>
      <c r="G27" s="134">
        <f>'Hoja de Trabajo TOTAL'!P37</f>
        <v>-0.24763460688664074</v>
      </c>
      <c r="H27" s="139">
        <f>'Hoja de Trabajo TOTAL'!I37</f>
        <v>0.34936969493529813</v>
      </c>
      <c r="I27" s="134">
        <f>'Hoja de Trabajo TOTAL'!Q37</f>
        <v>-7.6723319849656621E-2</v>
      </c>
      <c r="J27" s="139">
        <f>'Hoja de Trabajo TOTAL'!K37</f>
        <v>0.33390605652532018</v>
      </c>
      <c r="K27" s="134">
        <f>'Hoja de Trabajo TOTAL'!R37</f>
        <v>-0.13183345410381828</v>
      </c>
    </row>
    <row r="28" spans="2:11" ht="21" customHeight="1" x14ac:dyDescent="0.25">
      <c r="B28" s="339"/>
      <c r="C28" s="138" t="s">
        <v>4</v>
      </c>
      <c r="D28" s="133">
        <f>IF('Hoja de Trabajo TOTAL'!E38=0,"-",'Hoja de Trabajo TOTAL'!E38)</f>
        <v>3724</v>
      </c>
      <c r="E28" s="134">
        <f>'Hoja de Trabajo TOTAL'!O38</f>
        <v>-0.20580081040733633</v>
      </c>
      <c r="F28" s="133">
        <f>IF('Hoja de Trabajo TOTAL'!G38=0,"-",'Hoja de Trabajo TOTAL'!G38)</f>
        <v>2037</v>
      </c>
      <c r="G28" s="134">
        <f>'Hoja de Trabajo TOTAL'!P38</f>
        <v>-0.2435945042703305</v>
      </c>
      <c r="H28" s="133">
        <f>IF('Hoja de Trabajo TOTAL'!I38=0,"-",'Hoja de Trabajo TOTAL'!I38)</f>
        <v>2047</v>
      </c>
      <c r="I28" s="134">
        <f>'Hoja de Trabajo TOTAL'!Q38</f>
        <v>-0.18930693069306931</v>
      </c>
      <c r="J28" s="133">
        <f>IF('Hoja de Trabajo TOTAL'!K38=0,"-",'Hoja de Trabajo TOTAL'!K38)</f>
        <v>7808</v>
      </c>
      <c r="K28" s="134">
        <f>'Hoja de Trabajo TOTAL'!R38</f>
        <v>-0.21187039467043506</v>
      </c>
    </row>
    <row r="29" spans="2:11" s="137" customFormat="1" ht="21" customHeight="1" x14ac:dyDescent="0.25">
      <c r="B29" s="339"/>
      <c r="C29" s="105" t="s">
        <v>50</v>
      </c>
      <c r="D29" s="136">
        <f>'Hoja de Trabajo TOTAL'!E40</f>
        <v>3.6110631535606133E-2</v>
      </c>
      <c r="E29" s="134">
        <f>'Hoja de Trabajo TOTAL'!O40</f>
        <v>-0.20477626275770883</v>
      </c>
      <c r="F29" s="136">
        <f>'Hoja de Trabajo TOTAL'!G40</f>
        <v>4.3649821443263501E-2</v>
      </c>
      <c r="G29" s="134">
        <f>'Hoja de Trabajo TOTAL'!P40</f>
        <v>-0.17834905750021623</v>
      </c>
      <c r="H29" s="136">
        <f>'Hoja de Trabajo TOTAL'!I40</f>
        <v>3.9369390374738571E-2</v>
      </c>
      <c r="I29" s="134">
        <f>'Hoja de Trabajo TOTAL'!Q40</f>
        <v>-0.21940509561794366</v>
      </c>
      <c r="J29" s="136">
        <f>'Hoja de Trabajo TOTAL'!K40</f>
        <v>3.8873997631347919E-2</v>
      </c>
      <c r="K29" s="134">
        <f>'Hoja de Trabajo TOTAL'!R40</f>
        <v>-0.20103165191994005</v>
      </c>
    </row>
    <row r="30" spans="2:11" ht="21" customHeight="1" x14ac:dyDescent="0.25">
      <c r="B30" s="339"/>
      <c r="C30" s="138" t="s">
        <v>5</v>
      </c>
      <c r="D30" s="133">
        <f>IF('Hoja de Trabajo TOTAL'!E41=0,"-",'Hoja de Trabajo TOTAL'!E41)</f>
        <v>185</v>
      </c>
      <c r="E30" s="134">
        <f>'Hoja de Trabajo TOTAL'!O41</f>
        <v>-0.24180327868852458</v>
      </c>
      <c r="F30" s="133">
        <f>IF('Hoja de Trabajo TOTAL'!G41=0,"-",'Hoja de Trabajo TOTAL'!G41)</f>
        <v>145</v>
      </c>
      <c r="G30" s="134">
        <f>'Hoja de Trabajo TOTAL'!P41</f>
        <v>0.21848739495798319</v>
      </c>
      <c r="H30" s="133">
        <f>IF('Hoja de Trabajo TOTAL'!I41=0,"-",'Hoja de Trabajo TOTAL'!I41)</f>
        <v>111</v>
      </c>
      <c r="I30" s="134">
        <f>'Hoja de Trabajo TOTAL'!Q41</f>
        <v>0.12121212121212122</v>
      </c>
      <c r="J30" s="133">
        <f>IF('Hoja de Trabajo TOTAL'!K41=0,"-",'Hoja de Trabajo TOTAL'!K41)</f>
        <v>441</v>
      </c>
      <c r="K30" s="134">
        <f>'Hoja de Trabajo TOTAL'!R41</f>
        <v>-4.5454545454545456E-2</v>
      </c>
    </row>
    <row r="31" spans="2:11" s="137" customFormat="1" ht="21" customHeight="1" x14ac:dyDescent="0.25">
      <c r="B31" s="339"/>
      <c r="C31" s="105" t="s">
        <v>51</v>
      </c>
      <c r="D31" s="136">
        <f>'Hoja de Trabajo TOTAL'!E43</f>
        <v>1.4703476201717063E-2</v>
      </c>
      <c r="E31" s="134">
        <f>'Hoja de Trabajo TOTAL'!O43</f>
        <v>0.13022119906381566</v>
      </c>
      <c r="F31" s="136">
        <f>'Hoja de Trabajo TOTAL'!G43</f>
        <v>1.5693076253525003E-2</v>
      </c>
      <c r="G31" s="134">
        <f>'Hoja de Trabajo TOTAL'!P43</f>
        <v>0.16113279205400677</v>
      </c>
      <c r="H31" s="136">
        <f>'Hoja de Trabajo TOTAL'!I43</f>
        <v>1.250364829308291E-2</v>
      </c>
      <c r="I31" s="134">
        <f>'Hoja de Trabajo TOTAL'!Q43</f>
        <v>9.0220213707049468E-2</v>
      </c>
      <c r="J31" s="136">
        <f>'Hoja de Trabajo TOTAL'!K43</f>
        <v>1.4432437866307428E-2</v>
      </c>
      <c r="K31" s="134">
        <f>'Hoja de Trabajo TOTAL'!R43</f>
        <v>0.13051110367872501</v>
      </c>
    </row>
    <row r="32" spans="2:11" s="135" customFormat="1" ht="21" customHeight="1" thickBot="1" x14ac:dyDescent="0.3">
      <c r="B32" s="340"/>
      <c r="C32" s="106" t="s">
        <v>56</v>
      </c>
      <c r="D32" s="142">
        <f>'Hoja de Trabajo TOTAL'!E45</f>
        <v>3.0544330873076855E-2</v>
      </c>
      <c r="E32" s="143">
        <f>'Hoja de Trabajo TOTAL'!O45</f>
        <v>-9.4357970134001282E-2</v>
      </c>
      <c r="F32" s="142">
        <f>'Hoja de Trabajo TOTAL'!G45</f>
        <v>3.3558476865240251E-2</v>
      </c>
      <c r="G32" s="143">
        <f>'Hoja de Trabajo TOTAL'!P45</f>
        <v>-0.1471833504909478</v>
      </c>
      <c r="H32" s="142">
        <f>'Hoja de Trabajo TOTAL'!I45</f>
        <v>3.9043424769493518E-2</v>
      </c>
      <c r="I32" s="143">
        <f>'Hoja de Trabajo TOTAL'!Q45</f>
        <v>-0.10406649451859247</v>
      </c>
      <c r="J32" s="142">
        <f>'Hoja de Trabajo TOTAL'!K45</f>
        <v>3.3384821836531894E-2</v>
      </c>
      <c r="K32" s="143">
        <f>'Hoja de Trabajo TOTAL'!R45</f>
        <v>-0.11213943025303616</v>
      </c>
    </row>
    <row r="33" spans="2:11" ht="21" customHeight="1" x14ac:dyDescent="0.25">
      <c r="B33" s="338" t="s">
        <v>10</v>
      </c>
      <c r="C33" s="144" t="s">
        <v>65</v>
      </c>
      <c r="D33" s="145">
        <f>IF('Hoja de Trabajo TOTAL'!E46=0,"-",'Hoja de Trabajo TOTAL'!E46)</f>
        <v>2315087</v>
      </c>
      <c r="E33" s="146">
        <f>'Hoja de Trabajo TOTAL'!O46</f>
        <v>-9.6016419023420242E-4</v>
      </c>
      <c r="F33" s="145">
        <f>IF('Hoja de Trabajo TOTAL'!G46=0,"-",'Hoja de Trabajo TOTAL'!G46)</f>
        <v>1175727</v>
      </c>
      <c r="G33" s="146">
        <f>'Hoja de Trabajo TOTAL'!P46</f>
        <v>-2.788854833202007E-2</v>
      </c>
      <c r="H33" s="145">
        <f>IF('Hoja de Trabajo TOTAL'!I46=0,"-",'Hoja de Trabajo TOTAL'!I46)</f>
        <v>1204053</v>
      </c>
      <c r="I33" s="146">
        <f>'Hoja de Trabajo TOTAL'!Q46</f>
        <v>1.3578321153812158E-2</v>
      </c>
      <c r="J33" s="145">
        <f>IF('Hoja de Trabajo TOTAL'!K46=0,"-",'Hoja de Trabajo TOTAL'!K46)</f>
        <v>4694867</v>
      </c>
      <c r="K33" s="146">
        <f>'Hoja de Trabajo TOTAL'!R46</f>
        <v>-4.2049406408732528E-3</v>
      </c>
    </row>
    <row r="34" spans="2:11" s="135" customFormat="1" ht="21" customHeight="1" x14ac:dyDescent="0.25">
      <c r="B34" s="339"/>
      <c r="C34" s="102" t="s">
        <v>66</v>
      </c>
      <c r="D34" s="133">
        <f>IF('Hoja de Trabajo TOTAL'!E47=0,"-",'Hoja de Trabajo TOTAL'!E47)</f>
        <v>115840395.66</v>
      </c>
      <c r="E34" s="134">
        <f>'Hoja de Trabajo TOTAL'!O47</f>
        <v>8.210480077009838E-2</v>
      </c>
      <c r="F34" s="133">
        <f>IF('Hoja de Trabajo TOTAL'!G47=0,"-",'Hoja de Trabajo TOTAL'!G47)</f>
        <v>63543070</v>
      </c>
      <c r="G34" s="134">
        <f>'Hoja de Trabajo TOTAL'!P47</f>
        <v>5.6747105727146245E-2</v>
      </c>
      <c r="H34" s="133">
        <f>IF('Hoja de Trabajo TOTAL'!I47=0,"-",'Hoja de Trabajo TOTAL'!I47)</f>
        <v>57617920</v>
      </c>
      <c r="I34" s="134">
        <f>'Hoja de Trabajo TOTAL'!Q47</f>
        <v>7.9859383813590423E-2</v>
      </c>
      <c r="J34" s="133">
        <f>IF('Hoja de Trabajo TOTAL'!K47=0,"-",'Hoja de Trabajo TOTAL'!K47)</f>
        <v>237001385.66</v>
      </c>
      <c r="K34" s="134">
        <f>'Hoja de Trabajo TOTAL'!R47</f>
        <v>7.4647662803789178E-2</v>
      </c>
    </row>
    <row r="35" spans="2:11" s="137" customFormat="1" ht="21" customHeight="1" x14ac:dyDescent="0.25">
      <c r="B35" s="339"/>
      <c r="C35" s="105" t="s">
        <v>52</v>
      </c>
      <c r="D35" s="136">
        <f>'Hoja de Trabajo TOTAL'!E49</f>
        <v>1.5557079004541792</v>
      </c>
      <c r="E35" s="134">
        <f>'Hoja de Trabajo TOTAL'!O49</f>
        <v>2.7585035875581736E-2</v>
      </c>
      <c r="F35" s="136">
        <f>'Hoja de Trabajo TOTAL'!G49</f>
        <v>1.4997982156039991</v>
      </c>
      <c r="G35" s="134">
        <f>'Hoja de Trabajo TOTAL'!P49</f>
        <v>4.5100898805108695E-2</v>
      </c>
      <c r="H35" s="136">
        <f>'Hoja de Trabajo TOTAL'!I49</f>
        <v>1.4650447117841117</v>
      </c>
      <c r="I35" s="134">
        <f>'Hoja de Trabajo TOTAL'!Q49</f>
        <v>6.5747572465109275E-2</v>
      </c>
      <c r="J35" s="136">
        <f>'Hoja de Trabajo TOTAL'!K49</f>
        <v>1.5186764824925962</v>
      </c>
      <c r="K35" s="134">
        <f>'Hoja de Trabajo TOTAL'!R49</f>
        <v>4.1085291224098951E-2</v>
      </c>
    </row>
    <row r="36" spans="2:11" s="137" customFormat="1" ht="21" customHeight="1" x14ac:dyDescent="0.25">
      <c r="B36" s="339"/>
      <c r="C36" s="105" t="s">
        <v>29</v>
      </c>
      <c r="D36" s="136">
        <f>'Hoja de Trabajo TOTAL'!E54</f>
        <v>0.17655536640099048</v>
      </c>
      <c r="E36" s="134">
        <f>'Hoja de Trabajo TOTAL'!O54</f>
        <v>-0.27536326465449418</v>
      </c>
      <c r="F36" s="136">
        <f>'Hoja de Trabajo TOTAL'!G54</f>
        <v>0.24294050436627765</v>
      </c>
      <c r="G36" s="134">
        <f>'Hoja de Trabajo TOTAL'!P54</f>
        <v>-0.12231868914934274</v>
      </c>
      <c r="H36" s="136">
        <f>'Hoja de Trabajo TOTAL'!I54</f>
        <v>0.19693349637851565</v>
      </c>
      <c r="I36" s="134">
        <f>'Hoja de Trabajo TOTAL'!Q54</f>
        <v>-0.4014490879734724</v>
      </c>
      <c r="J36" s="136">
        <f>'Hoja de Trabajo TOTAL'!K54</f>
        <v>0.19765411017217138</v>
      </c>
      <c r="K36" s="134">
        <f>'Hoja de Trabajo TOTAL'!R54</f>
        <v>-0.27800474573449063</v>
      </c>
    </row>
    <row r="37" spans="2:11" s="137" customFormat="1" ht="21" customHeight="1" x14ac:dyDescent="0.25">
      <c r="B37" s="339"/>
      <c r="C37" s="105" t="s">
        <v>28</v>
      </c>
      <c r="D37" s="136">
        <f>'Hoja de Trabajo TOTAL'!E55</f>
        <v>0.34547175167975774</v>
      </c>
      <c r="E37" s="134">
        <f>'Hoja de Trabajo TOTAL'!O55</f>
        <v>-0.19009160726410967</v>
      </c>
      <c r="F37" s="136">
        <f>'Hoja de Trabajo TOTAL'!G55</f>
        <v>0.59419132691252063</v>
      </c>
      <c r="G37" s="134">
        <f>'Hoja de Trabajo TOTAL'!P55</f>
        <v>0.68202841737119313</v>
      </c>
      <c r="H37" s="136" t="str">
        <f>'Hoja de Trabajo TOTAL'!I55</f>
        <v>-</v>
      </c>
      <c r="I37" s="134" t="str">
        <f>'Hoja de Trabajo TOTAL'!Q55</f>
        <v>-</v>
      </c>
      <c r="J37" s="136" t="str">
        <f>'Hoja de Trabajo TOTAL'!K55</f>
        <v>-</v>
      </c>
      <c r="K37" s="134" t="str">
        <f>'Hoja de Trabajo TOTAL'!R55</f>
        <v>-</v>
      </c>
    </row>
    <row r="38" spans="2:11" s="137" customFormat="1" ht="21" customHeight="1" x14ac:dyDescent="0.25">
      <c r="B38" s="339"/>
      <c r="C38" s="105" t="s">
        <v>70</v>
      </c>
      <c r="D38" s="139">
        <f>'Hoja de Trabajo TOTAL'!E52</f>
        <v>10.717592902556143</v>
      </c>
      <c r="E38" s="134">
        <f>'Hoja de Trabajo TOTAL'!O52</f>
        <v>-9.2848029651246153E-2</v>
      </c>
      <c r="F38" s="139">
        <f>'Hoja de Trabajo TOTAL'!G52</f>
        <v>10.004771515836584</v>
      </c>
      <c r="G38" s="134">
        <f>'Hoja de Trabajo TOTAL'!P52</f>
        <v>-5.6159211062659371E-2</v>
      </c>
      <c r="H38" s="139">
        <f>'Hoja de Trabajo TOTAL'!I52</f>
        <v>10.595214662477483</v>
      </c>
      <c r="I38" s="134">
        <f>'Hoja de Trabajo TOTAL'!Q52</f>
        <v>-0.11464845728422876</v>
      </c>
      <c r="J38" s="139">
        <f>'Hoja de Trabajo TOTAL'!K52</f>
        <v>10.507697023153158</v>
      </c>
      <c r="K38" s="134">
        <f>'Hoja de Trabajo TOTAL'!R52</f>
        <v>-8.9570366316391925E-2</v>
      </c>
    </row>
    <row r="39" spans="2:11" ht="21" customHeight="1" x14ac:dyDescent="0.25">
      <c r="B39" s="339"/>
      <c r="C39" s="138" t="s">
        <v>46</v>
      </c>
      <c r="D39" s="139">
        <f>'Hoja de Trabajo TOTAL'!E58</f>
        <v>37.294510212975737</v>
      </c>
      <c r="E39" s="134">
        <f>'Hoja de Trabajo TOTAL'!O58</f>
        <v>2.3648319172872242E-2</v>
      </c>
      <c r="F39" s="139">
        <f>'Hoja de Trabajo TOTAL'!G58</f>
        <v>37.883012855649838</v>
      </c>
      <c r="G39" s="134">
        <f>'Hoja de Trabajo TOTAL'!P58</f>
        <v>4.8297730687261738E-2</v>
      </c>
      <c r="H39" s="139">
        <f>'Hoja de Trabajo TOTAL'!I58</f>
        <v>36.210151289772519</v>
      </c>
      <c r="I39" s="134">
        <f>'Hoja de Trabajo TOTAL'!Q58</f>
        <v>2.2743662326058369E-2</v>
      </c>
      <c r="J39" s="139">
        <f>'Hoja de Trabajo TOTAL'!K58</f>
        <v>37.170239821125897</v>
      </c>
      <c r="K39" s="134">
        <f>'Hoja de Trabajo TOTAL'!R58</f>
        <v>2.9481001704900516E-2</v>
      </c>
    </row>
    <row r="40" spans="2:11" s="141" customFormat="1" ht="21" customHeight="1" x14ac:dyDescent="0.25">
      <c r="B40" s="339"/>
      <c r="C40" s="140" t="s">
        <v>30</v>
      </c>
      <c r="D40" s="139">
        <f>'Hoja de Trabajo TOTAL'!E60</f>
        <v>12.839346426289811</v>
      </c>
      <c r="E40" s="134">
        <f>'Hoja de Trabajo TOTAL'!O60</f>
        <v>0.15661952770494153</v>
      </c>
      <c r="F40" s="139">
        <f>'Hoja de Trabajo TOTAL'!G60</f>
        <v>12.778633815503088</v>
      </c>
      <c r="G40" s="134">
        <f>'Hoja de Trabajo TOTAL'!P60</f>
        <v>0.15185727710873706</v>
      </c>
      <c r="H40" s="139">
        <f>'Hoja de Trabajo TOTAL'!I60</f>
        <v>11.994785611596832</v>
      </c>
      <c r="I40" s="134">
        <f>'Hoja de Trabajo TOTAL'!Q60</f>
        <v>0.18764671364323454</v>
      </c>
      <c r="J40" s="139">
        <f>'Hoja de Trabajo TOTAL'!K60</f>
        <v>12.607544878268117</v>
      </c>
      <c r="K40" s="134">
        <f>'Hoja de Trabajo TOTAL'!R60</f>
        <v>0.16233300959707639</v>
      </c>
    </row>
    <row r="41" spans="2:11" ht="21" customHeight="1" thickBot="1" x14ac:dyDescent="0.3">
      <c r="B41" s="340"/>
      <c r="C41" s="147" t="s">
        <v>31</v>
      </c>
      <c r="D41" s="148">
        <f>'Hoja de Trabajo TOTAL'!E62</f>
        <v>3.2710649750959684</v>
      </c>
      <c r="E41" s="143">
        <f>'Hoja de Trabajo TOTAL'!O62</f>
        <v>6.7857280453283667E-2</v>
      </c>
      <c r="F41" s="148">
        <f>'Hoja de Trabajo TOTAL'!G62</f>
        <v>3.5293056976662101</v>
      </c>
      <c r="G41" s="143">
        <f>'Hoja de Trabajo TOTAL'!P62</f>
        <v>0.1325100106609752</v>
      </c>
      <c r="H41" s="148">
        <f>'Hoja de Trabajo TOTAL'!I62</f>
        <v>3.6779111882948676</v>
      </c>
      <c r="I41" s="143">
        <f>'Hoja de Trabajo TOTAL'!Q62</f>
        <v>0.14604708247850481</v>
      </c>
      <c r="J41" s="148">
        <f>'Hoja de Trabajo TOTAL'!K62</f>
        <v>3.4400761512519948</v>
      </c>
      <c r="K41" s="143">
        <f>'Hoja de Trabajo TOTAL'!R62</f>
        <v>0.10484471925357082</v>
      </c>
    </row>
    <row r="42" spans="2:11" ht="21" customHeight="1" x14ac:dyDescent="0.25">
      <c r="B42" s="350" t="s">
        <v>59</v>
      </c>
      <c r="C42" s="144" t="s">
        <v>7</v>
      </c>
      <c r="D42" s="145">
        <f>IF('Hoja de Trabajo TOTAL'!E63="","-",'Hoja de Trabajo TOTAL'!E63)</f>
        <v>432421</v>
      </c>
      <c r="E42" s="146">
        <f>'Hoja de Trabajo TOTAL'!O63</f>
        <v>0.16491784818549418</v>
      </c>
      <c r="F42" s="145">
        <f>IF('Hoja de Trabajo TOTAL'!G63="","-",'Hoja de Trabajo TOTAL'!G63)</f>
        <v>181094</v>
      </c>
      <c r="G42" s="146">
        <f>'Hoja de Trabajo TOTAL'!P63</f>
        <v>0.14702119304290545</v>
      </c>
      <c r="H42" s="145">
        <f>IF('Hoja de Trabajo TOTAL'!I63="","-",'Hoja de Trabajo TOTAL'!I63)</f>
        <v>201254</v>
      </c>
      <c r="I42" s="146">
        <f>'Hoja de Trabajo TOTAL'!Q63</f>
        <v>6.710569571257384E-2</v>
      </c>
      <c r="J42" s="145">
        <f>IF('Hoja de Trabajo TOTAL'!K63=0,"-",'Hoja de Trabajo TOTAL'!K63)</f>
        <v>814769</v>
      </c>
      <c r="K42" s="146">
        <f>'Hoja de Trabajo TOTAL'!R63</f>
        <v>0.13527699555374725</v>
      </c>
    </row>
    <row r="43" spans="2:11" s="135" customFormat="1" ht="21" customHeight="1" x14ac:dyDescent="0.25">
      <c r="B43" s="351"/>
      <c r="C43" s="102" t="s">
        <v>41</v>
      </c>
      <c r="D43" s="133">
        <f>IF('Hoja de Trabajo TOTAL'!E64="","-",'Hoja de Trabajo TOTAL'!E64)</f>
        <v>6881491.21</v>
      </c>
      <c r="E43" s="134">
        <f>'Hoja de Trabajo TOTAL'!O64</f>
        <v>3.3663400962088807E-2</v>
      </c>
      <c r="F43" s="133">
        <f>IF('Hoja de Trabajo TOTAL'!G64="","-",'Hoja de Trabajo TOTAL'!G64)</f>
        <v>3049148</v>
      </c>
      <c r="G43" s="134">
        <f>'Hoja de Trabajo TOTAL'!P64</f>
        <v>3.4985495971253985E-2</v>
      </c>
      <c r="H43" s="133">
        <f>IF('Hoja de Trabajo TOTAL'!I64="","-",'Hoja de Trabajo TOTAL'!I64)</f>
        <v>3512801</v>
      </c>
      <c r="I43" s="134">
        <f>'Hoja de Trabajo TOTAL'!Q64</f>
        <v>3.9327135874646438E-2</v>
      </c>
      <c r="J43" s="133">
        <f>IF('Hoja de Trabajo TOTAL'!K64=0,"-",'Hoja de Trabajo TOTAL'!K64)</f>
        <v>13443440.210000001</v>
      </c>
      <c r="K43" s="134">
        <f>'Hoja de Trabajo TOTAL'!R64</f>
        <v>3.543780885236554E-2</v>
      </c>
    </row>
    <row r="44" spans="2:11" s="137" customFormat="1" ht="21" customHeight="1" x14ac:dyDescent="0.25">
      <c r="B44" s="351"/>
      <c r="C44" s="105" t="s">
        <v>53</v>
      </c>
      <c r="D44" s="136">
        <f>'Hoja de Trabajo TOTAL'!E66</f>
        <v>1.9748946246201774E-2</v>
      </c>
      <c r="E44" s="134">
        <f>'Hoja de Trabajo TOTAL'!O66</f>
        <v>-0.44211843057801292</v>
      </c>
      <c r="F44" s="136">
        <f>'Hoja de Trabajo TOTAL'!G66</f>
        <v>4.6908513460153456E-2</v>
      </c>
      <c r="G44" s="134">
        <f>'Hoja de Trabajo TOTAL'!P66</f>
        <v>0.11041942820368941</v>
      </c>
      <c r="H44" s="136">
        <f>'Hoja de Trabajo TOTAL'!I66</f>
        <v>4.507030144890075E-2</v>
      </c>
      <c r="I44" s="134">
        <f>'Hoja de Trabajo TOTAL'!Q66</f>
        <v>-2.8307645205647311E-2</v>
      </c>
      <c r="J44" s="136">
        <f>'Hoja de Trabajo TOTAL'!K66</f>
        <v>3.2525617934815808E-2</v>
      </c>
      <c r="K44" s="134">
        <f>'Hoja de Trabajo TOTAL'!R66</f>
        <v>-0.18302268893047027</v>
      </c>
    </row>
    <row r="45" spans="2:11" s="151" customFormat="1" ht="21" customHeight="1" x14ac:dyDescent="0.25">
      <c r="B45" s="351"/>
      <c r="C45" s="104" t="s">
        <v>47</v>
      </c>
      <c r="D45" s="149">
        <f>IF('Hoja de Trabajo TOTAL'!E67="","-",'Hoja de Trabajo TOTAL'!E67)</f>
        <v>0</v>
      </c>
      <c r="E45" s="134" t="str">
        <f>'Hoja de Trabajo TOTAL'!O67</f>
        <v>-</v>
      </c>
      <c r="F45" s="149">
        <f>IF('Hoja de Trabajo TOTAL'!G67="","-",'Hoja de Trabajo TOTAL'!G67)</f>
        <v>2859892</v>
      </c>
      <c r="G45" s="134" t="str">
        <f>'Hoja de Trabajo TOTAL'!P67</f>
        <v>-</v>
      </c>
      <c r="H45" s="149">
        <f>IF('Hoja de Trabajo TOTAL'!I67="","-",'Hoja de Trabajo TOTAL'!I67)</f>
        <v>3072333</v>
      </c>
      <c r="I45" s="134">
        <f>'Hoja de Trabajo TOTAL'!Q67</f>
        <v>56.066254318511092</v>
      </c>
      <c r="J45" s="149">
        <f>IF('Hoja de Trabajo TOTAL'!K67=0,"-",'Hoja de Trabajo TOTAL'!K67)</f>
        <v>5932225</v>
      </c>
      <c r="K45" s="150">
        <f>'Hoja de Trabajo TOTAL'!R67</f>
        <v>109.18657825327836</v>
      </c>
    </row>
    <row r="46" spans="2:11" ht="21" customHeight="1" thickBot="1" x14ac:dyDescent="0.3">
      <c r="B46" s="352"/>
      <c r="C46" s="147" t="s">
        <v>11</v>
      </c>
      <c r="D46" s="152">
        <f>IF('Hoja de Trabajo TOTAL'!E68="","-",'Hoja de Trabajo TOTAL'!E68)</f>
        <v>518</v>
      </c>
      <c r="E46" s="143">
        <f>'Hoja de Trabajo TOTAL'!O68</f>
        <v>4.6923076923076925</v>
      </c>
      <c r="F46" s="152">
        <f>IF('Hoja de Trabajo TOTAL'!G68="","-",'Hoja de Trabajo TOTAL'!G68)</f>
        <v>75</v>
      </c>
      <c r="G46" s="143">
        <f>'Hoja de Trabajo TOTAL'!P68</f>
        <v>1.0833333333333333</v>
      </c>
      <c r="H46" s="152">
        <f>IF('Hoja de Trabajo TOTAL'!I68="","-",'Hoja de Trabajo TOTAL'!I68)</f>
        <v>133</v>
      </c>
      <c r="I46" s="143">
        <f>'Hoja de Trabajo TOTAL'!Q68</f>
        <v>1.66</v>
      </c>
      <c r="J46" s="152">
        <f>IF('Hoja de Trabajo TOTAL'!K68=0,"-",'Hoja de Trabajo TOTAL'!K68)</f>
        <v>726</v>
      </c>
      <c r="K46" s="143">
        <f>'Hoja de Trabajo TOTAL'!R68</f>
        <v>3.1016949152542375</v>
      </c>
    </row>
    <row r="47" spans="2:11" ht="21" customHeight="1" x14ac:dyDescent="0.25">
      <c r="B47" s="353" t="s">
        <v>95</v>
      </c>
      <c r="C47" s="251" t="s">
        <v>92</v>
      </c>
      <c r="D47" s="252">
        <f>IF('Hoja de Trabajo TOTAL'!E69="","-",'Hoja de Trabajo TOTAL'!E69)</f>
        <v>214133</v>
      </c>
      <c r="E47" s="253" t="str">
        <f>'Hoja de Trabajo TOTAL'!O69</f>
        <v>-</v>
      </c>
      <c r="F47" s="252">
        <f>IF('Hoja de Trabajo TOTAL'!G69="","-",'Hoja de Trabajo TOTAL'!G69)</f>
        <v>90516</v>
      </c>
      <c r="G47" s="253" t="str">
        <f>'Hoja de Trabajo TOTAL'!P69</f>
        <v>-</v>
      </c>
      <c r="H47" s="252">
        <f>IF('Hoja de Trabajo TOTAL'!I69="","-",'Hoja de Trabajo TOTAL'!I69)</f>
        <v>115001</v>
      </c>
      <c r="I47" s="253" t="str">
        <f>'Hoja de Trabajo TOTAL'!Q69</f>
        <v>-</v>
      </c>
      <c r="J47" s="254">
        <f>IF('Hoja de Trabajo TOTAL'!K69=0,"-",'Hoja de Trabajo TOTAL'!K69)</f>
        <v>419650</v>
      </c>
      <c r="K47" s="170" t="str">
        <f>'Hoja de Trabajo TOTAL'!R69</f>
        <v>-</v>
      </c>
    </row>
    <row r="48" spans="2:11" ht="21" customHeight="1" x14ac:dyDescent="0.25">
      <c r="B48" s="354"/>
      <c r="C48" s="255" t="s">
        <v>93</v>
      </c>
      <c r="D48" s="256">
        <f>IF('Hoja de Trabajo TOTAL'!E70="","-",'Hoja de Trabajo TOTAL'!E70)</f>
        <v>16652</v>
      </c>
      <c r="E48" s="257" t="str">
        <f>'Hoja de Trabajo TOTAL'!O70</f>
        <v>-</v>
      </c>
      <c r="F48" s="256">
        <f>IF('Hoja de Trabajo TOTAL'!G70="","-",'Hoja de Trabajo TOTAL'!G70)</f>
        <v>1351</v>
      </c>
      <c r="G48" s="257" t="str">
        <f>'Hoja de Trabajo TOTAL'!P70</f>
        <v>-</v>
      </c>
      <c r="H48" s="256">
        <f>IF('Hoja de Trabajo TOTAL'!I70="","-",'Hoja de Trabajo TOTAL'!I70)</f>
        <v>196</v>
      </c>
      <c r="I48" s="257" t="str">
        <f>'Hoja de Trabajo TOTAL'!Q70</f>
        <v>-</v>
      </c>
      <c r="J48" s="258">
        <f>IF('Hoja de Trabajo TOTAL'!K70=0,"-",'Hoja de Trabajo TOTAL'!K70)</f>
        <v>18199</v>
      </c>
      <c r="K48" s="16" t="str">
        <f>'Hoja de Trabajo TOTAL'!R70</f>
        <v>-</v>
      </c>
    </row>
    <row r="49" spans="2:11" ht="21" customHeight="1" x14ac:dyDescent="0.25">
      <c r="B49" s="354"/>
      <c r="C49" s="255" t="s">
        <v>94</v>
      </c>
      <c r="D49" s="256">
        <f>IF('Hoja de Trabajo TOTAL'!E71="","-",'Hoja de Trabajo TOTAL'!E71)</f>
        <v>390159838.72999996</v>
      </c>
      <c r="E49" s="257" t="str">
        <f>'Hoja de Trabajo TOTAL'!O71</f>
        <v>-</v>
      </c>
      <c r="F49" s="256">
        <f>IF('Hoja de Trabajo TOTAL'!G71="","-",'Hoja de Trabajo TOTAL'!G71)</f>
        <v>165589456</v>
      </c>
      <c r="G49" s="257" t="str">
        <f>'Hoja de Trabajo TOTAL'!P71</f>
        <v>-</v>
      </c>
      <c r="H49" s="256">
        <f>IF('Hoja de Trabajo TOTAL'!I71="","-",'Hoja de Trabajo TOTAL'!I71)</f>
        <v>209705951</v>
      </c>
      <c r="I49" s="257" t="str">
        <f>'Hoja de Trabajo TOTAL'!Q71</f>
        <v>-</v>
      </c>
      <c r="J49" s="258">
        <f>IF('Hoja de Trabajo TOTAL'!K71=0,"-",'Hoja de Trabajo TOTAL'!K71)</f>
        <v>765455245.73000002</v>
      </c>
      <c r="K49" s="16" t="str">
        <f>'Hoja de Trabajo TOTAL'!R71</f>
        <v>-</v>
      </c>
    </row>
    <row r="50" spans="2:11" ht="21" customHeight="1" thickBot="1" x14ac:dyDescent="0.3">
      <c r="B50" s="355"/>
      <c r="C50" s="251" t="s">
        <v>99</v>
      </c>
      <c r="D50" s="259">
        <f>IF('Hoja de Trabajo TOTAL'!E72="","-",'Hoja de Trabajo TOTAL'!E72)</f>
        <v>0.44671441177759097</v>
      </c>
      <c r="E50" s="260" t="str">
        <f>'Hoja de Trabajo TOTAL'!O72</f>
        <v>-</v>
      </c>
      <c r="F50" s="259">
        <f>IF('Hoja de Trabajo TOTAL'!G72="","-",'Hoja de Trabajo TOTAL'!G72)</f>
        <v>0.44392131475569024</v>
      </c>
      <c r="G50" s="260" t="str">
        <f>'Hoja de Trabajo TOTAL'!P72</f>
        <v>-</v>
      </c>
      <c r="H50" s="259">
        <f>IF('Hoja de Trabajo TOTAL'!I72="","-",'Hoja de Trabajo TOTAL'!I72)</f>
        <v>0.46921564147340589</v>
      </c>
      <c r="I50" s="260" t="str">
        <f>'Hoja de Trabajo TOTAL'!Q72</f>
        <v>-</v>
      </c>
      <c r="J50" s="261">
        <f>IF('Hoja de Trabajo TOTAL'!K72=0,"-",'Hoja de Trabajo TOTAL'!K72)</f>
        <v>0.45204148462207977</v>
      </c>
      <c r="K50" s="171" t="str">
        <f>'Hoja de Trabajo TOTAL'!R72</f>
        <v>-</v>
      </c>
    </row>
    <row r="51" spans="2:11" ht="21" customHeight="1" x14ac:dyDescent="0.25">
      <c r="B51" s="338" t="s">
        <v>90</v>
      </c>
      <c r="C51" s="101" t="s">
        <v>84</v>
      </c>
      <c r="D51" s="145">
        <f>IF('Hoja de Trabajo TOTAL'!E73=0,"-",'Hoja de Trabajo TOTAL'!E73)</f>
        <v>102901</v>
      </c>
      <c r="E51" s="263" t="str">
        <f>'Hoja de Trabajo TOTAL'!O73</f>
        <v>-</v>
      </c>
      <c r="F51" s="145">
        <f>IF('Hoja de Trabajo TOTAL'!G73=0,"-",'Hoja de Trabajo TOTAL'!G73)</f>
        <v>48465</v>
      </c>
      <c r="G51" s="263" t="str">
        <f>'Hoja de Trabajo TOTAL'!P73</f>
        <v>-</v>
      </c>
      <c r="H51" s="145">
        <f>IF('Hoja de Trabajo TOTAL'!I73=0,"-",'Hoja de Trabajo TOTAL'!I73)</f>
        <v>56321</v>
      </c>
      <c r="I51" s="263" t="str">
        <f>'Hoja de Trabajo TOTAL'!Q73</f>
        <v>-</v>
      </c>
      <c r="J51" s="145">
        <f>IF('Hoja de Trabajo TOTAL'!K73=0,"-",'Hoja de Trabajo TOTAL'!K73)</f>
        <v>207687</v>
      </c>
      <c r="K51" s="263" t="str">
        <f>'Hoja de Trabajo TOTAL'!R73</f>
        <v>-</v>
      </c>
    </row>
    <row r="52" spans="2:11" ht="21" customHeight="1" x14ac:dyDescent="0.25">
      <c r="B52" s="339"/>
      <c r="C52" s="262" t="s">
        <v>20</v>
      </c>
      <c r="D52" s="264">
        <f>'Hoja de Trabajo TOTAL'!E76</f>
        <v>22.748279043361009</v>
      </c>
      <c r="E52" s="268" t="str">
        <f>'Hoja de Trabajo TOTAL'!O76</f>
        <v>-</v>
      </c>
      <c r="F52" s="264">
        <f>'Hoja de Trabajo TOTAL'!G76</f>
        <v>22.769191995564292</v>
      </c>
      <c r="G52" s="268" t="str">
        <f>'Hoja de Trabajo TOTAL'!P76</f>
        <v>-</v>
      </c>
      <c r="H52" s="264">
        <f>'Hoja de Trabajo TOTAL'!I76</f>
        <v>20.992893465818423</v>
      </c>
      <c r="I52" s="268" t="str">
        <f>'Hoja de Trabajo TOTAL'!Q76</f>
        <v>-</v>
      </c>
      <c r="J52" s="264">
        <f>'Hoja de Trabajo TOTAL'!K76</f>
        <v>22.271289487977665</v>
      </c>
      <c r="K52" s="268" t="str">
        <f>'Hoja de Trabajo TOTAL'!R76</f>
        <v>-</v>
      </c>
    </row>
    <row r="53" spans="2:11" ht="21" customHeight="1" x14ac:dyDescent="0.25">
      <c r="B53" s="339"/>
      <c r="C53" s="103" t="s">
        <v>91</v>
      </c>
      <c r="D53" s="266">
        <f>IF('Hoja de Trabajo TOTAL'!E77=0,"-",'Hoja de Trabajo TOTAL'!E77)</f>
        <v>18354</v>
      </c>
      <c r="E53" s="267" t="str">
        <f>'Hoja de Trabajo TOTAL'!O77</f>
        <v>-</v>
      </c>
      <c r="F53" s="266">
        <f>IF('Hoja de Trabajo TOTAL'!G77=0,"-",'Hoja de Trabajo TOTAL'!G77)</f>
        <v>10224</v>
      </c>
      <c r="G53" s="267" t="str">
        <f>'Hoja de Trabajo TOTAL'!P77</f>
        <v>-</v>
      </c>
      <c r="H53" s="266">
        <f>IF('Hoja de Trabajo TOTAL'!I77=0,"-",'Hoja de Trabajo TOTAL'!I77)</f>
        <v>9322</v>
      </c>
      <c r="I53" s="267" t="str">
        <f>'Hoja de Trabajo TOTAL'!Q77</f>
        <v>-</v>
      </c>
      <c r="J53" s="266">
        <f>IF('Hoja de Trabajo TOTAL'!K77=0,"-",'Hoja de Trabajo TOTAL'!K77)</f>
        <v>37900</v>
      </c>
      <c r="K53" s="267" t="str">
        <f>'Hoja de Trabajo TOTAL'!R77</f>
        <v>-</v>
      </c>
    </row>
    <row r="54" spans="2:11" ht="21" customHeight="1" x14ac:dyDescent="0.25">
      <c r="B54" s="339"/>
      <c r="C54" s="104" t="s">
        <v>87</v>
      </c>
      <c r="D54" s="264">
        <f>'Hoja de Trabajo TOTAL'!E78</f>
        <v>3.7703474035419671</v>
      </c>
      <c r="E54" s="268" t="str">
        <f>'Hoja de Trabajo TOTAL'!O78</f>
        <v>-</v>
      </c>
      <c r="F54" s="264">
        <f>'Hoja de Trabajo TOTAL'!G78</f>
        <v>3.4168396295586061</v>
      </c>
      <c r="G54" s="268" t="str">
        <f>'Hoja de Trabajo TOTAL'!P78</f>
        <v>-</v>
      </c>
      <c r="H54" s="264">
        <f>'Hoja de Trabajo TOTAL'!I78</f>
        <v>3.9551458469248093</v>
      </c>
      <c r="I54" s="268" t="str">
        <f>'Hoja de Trabajo TOTAL'!Q78</f>
        <v>-</v>
      </c>
      <c r="J54" s="264">
        <f>'Hoja de Trabajo TOTAL'!K78</f>
        <v>3.7275826253264981</v>
      </c>
      <c r="K54" s="268" t="str">
        <f>'Hoja de Trabajo TOTAL'!R78</f>
        <v>-</v>
      </c>
    </row>
    <row r="55" spans="2:11" ht="21" customHeight="1" x14ac:dyDescent="0.25">
      <c r="B55" s="339"/>
      <c r="C55" s="104" t="s">
        <v>89</v>
      </c>
      <c r="D55" s="149" t="str">
        <f>IF('Hoja de Trabajo TOTAL'!E79=0,"-",'Hoja de Trabajo TOTAL'!E79)</f>
        <v>-</v>
      </c>
      <c r="E55" s="268" t="str">
        <f>'Hoja de Trabajo TOTAL'!O79</f>
        <v>-</v>
      </c>
      <c r="F55" s="149" t="str">
        <f>IF('Hoja de Trabajo TOTAL'!G79=0,"-",'Hoja de Trabajo TOTAL'!G79)</f>
        <v>-</v>
      </c>
      <c r="G55" s="268" t="str">
        <f>'Hoja de Trabajo TOTAL'!P79</f>
        <v>-</v>
      </c>
      <c r="H55" s="149" t="str">
        <f>IF('Hoja de Trabajo TOTAL'!I79=0,"-",'Hoja de Trabajo TOTAL'!I79)</f>
        <v>-</v>
      </c>
      <c r="I55" s="268" t="str">
        <f>'Hoja de Trabajo TOTAL'!Q79</f>
        <v>-</v>
      </c>
      <c r="J55" s="149" t="str">
        <f>IF('Hoja de Trabajo TOTAL'!K79=0,"-",'Hoja de Trabajo TOTAL'!K79)</f>
        <v>-</v>
      </c>
      <c r="K55" s="268" t="str">
        <f>'Hoja de Trabajo TOTAL'!R79</f>
        <v>-</v>
      </c>
    </row>
    <row r="56" spans="2:11" ht="21" customHeight="1" thickBot="1" x14ac:dyDescent="0.3">
      <c r="B56" s="340"/>
      <c r="C56" s="106" t="s">
        <v>88</v>
      </c>
      <c r="D56" s="142">
        <f>'Hoja de Trabajo TOTAL'!E80</f>
        <v>0</v>
      </c>
      <c r="E56" s="269" t="str">
        <f>'Hoja de Trabajo TOTAL'!O80</f>
        <v>-</v>
      </c>
      <c r="F56" s="142">
        <f>'Hoja de Trabajo TOTAL'!G80</f>
        <v>0</v>
      </c>
      <c r="G56" s="269" t="str">
        <f>'Hoja de Trabajo TOTAL'!P80</f>
        <v>-</v>
      </c>
      <c r="H56" s="142">
        <f>'Hoja de Trabajo TOTAL'!I80</f>
        <v>0</v>
      </c>
      <c r="I56" s="269" t="str">
        <f>'Hoja de Trabajo TOTAL'!Q80</f>
        <v>-</v>
      </c>
      <c r="J56" s="142">
        <f>'Hoja de Trabajo TOTAL'!K80</f>
        <v>0</v>
      </c>
      <c r="K56" s="269" t="str">
        <f>'Hoja de Trabajo TOTAL'!R80</f>
        <v>-</v>
      </c>
    </row>
    <row r="58" spans="2:11" x14ac:dyDescent="0.25">
      <c r="C58" s="153" t="s">
        <v>43</v>
      </c>
    </row>
    <row r="59" spans="2:11" ht="15.75" x14ac:dyDescent="0.25">
      <c r="C59" s="228" t="s">
        <v>96</v>
      </c>
    </row>
  </sheetData>
  <sheetProtection password="A490" sheet="1" objects="1" scenarios="1"/>
  <mergeCells count="13">
    <mergeCell ref="B51:B56"/>
    <mergeCell ref="B17:B32"/>
    <mergeCell ref="B33:B41"/>
    <mergeCell ref="B42:B46"/>
    <mergeCell ref="H5:I5"/>
    <mergeCell ref="B47:B50"/>
    <mergeCell ref="J5:K5"/>
    <mergeCell ref="H7:I7"/>
    <mergeCell ref="J7:K7"/>
    <mergeCell ref="D9:E14"/>
    <mergeCell ref="F9:G14"/>
    <mergeCell ref="H9:I14"/>
    <mergeCell ref="J9:K14"/>
  </mergeCells>
  <conditionalFormatting sqref="E16:E18 E21 E33:E34 E36:E37 E42:E43">
    <cfRule type="expression" dxfId="65" priority="85">
      <formula>E16&lt;0</formula>
    </cfRule>
  </conditionalFormatting>
  <conditionalFormatting sqref="E19:E20 E22:E25 E35 E39:E41 E44:E50 E27:E32">
    <cfRule type="expression" dxfId="64" priority="84">
      <formula>E19&gt;0</formula>
    </cfRule>
  </conditionalFormatting>
  <conditionalFormatting sqref="E16:E25 E27:E37 E39:E50">
    <cfRule type="expression" dxfId="63" priority="83">
      <formula>E16="-"</formula>
    </cfRule>
  </conditionalFormatting>
  <conditionalFormatting sqref="G17:G18 G21 G33:G34 G36:G37 G42:G43">
    <cfRule type="expression" dxfId="62" priority="82">
      <formula>G17&lt;0</formula>
    </cfRule>
  </conditionalFormatting>
  <conditionalFormatting sqref="G19:G20 G22:G25 G35 G39:G41 G44:G50 G27:G32">
    <cfRule type="expression" dxfId="61" priority="81">
      <formula>G19&gt;0</formula>
    </cfRule>
  </conditionalFormatting>
  <conditionalFormatting sqref="G17:G25 G27:G37 G39:G50">
    <cfRule type="expression" dxfId="60" priority="80">
      <formula>G17="-"</formula>
    </cfRule>
  </conditionalFormatting>
  <conditionalFormatting sqref="I17:I18 I21 I33:I34 I36:I37 I42:I43">
    <cfRule type="expression" dxfId="59" priority="79">
      <formula>I17&lt;0</formula>
    </cfRule>
  </conditionalFormatting>
  <conditionalFormatting sqref="I19:I20 I22:I25 I35 I39:I41 I44:I50 I27:I32">
    <cfRule type="expression" dxfId="58" priority="78">
      <formula>I19&gt;0</formula>
    </cfRule>
  </conditionalFormatting>
  <conditionalFormatting sqref="I17:I25 I27:I37 I39:I50">
    <cfRule type="expression" dxfId="57" priority="77">
      <formula>I17="-"</formula>
    </cfRule>
  </conditionalFormatting>
  <conditionalFormatting sqref="K17:K18 K21 K33:K34 K36:K37 K42:K43">
    <cfRule type="expression" dxfId="56" priority="76">
      <formula>K17&lt;0</formula>
    </cfRule>
  </conditionalFormatting>
  <conditionalFormatting sqref="K19:K20 K22:K25 K35 K39:K41 K44:K50 K27:K32">
    <cfRule type="expression" dxfId="55" priority="75">
      <formula>K19&gt;0</formula>
    </cfRule>
  </conditionalFormatting>
  <conditionalFormatting sqref="K17:K25 K27:K37 K39:K50">
    <cfRule type="expression" dxfId="54" priority="74">
      <formula>K17="-"</formula>
    </cfRule>
  </conditionalFormatting>
  <conditionalFormatting sqref="E16 G16 I16">
    <cfRule type="expression" dxfId="53" priority="65">
      <formula>E16=MAX($E$16,$G$16,$I$16)</formula>
    </cfRule>
  </conditionalFormatting>
  <conditionalFormatting sqref="E17 G17 I17">
    <cfRule type="expression" dxfId="52" priority="63">
      <formula>E17=MAX($E$17,$G$17,$I$17)</formula>
    </cfRule>
  </conditionalFormatting>
  <conditionalFormatting sqref="E18 G18 I18">
    <cfRule type="expression" dxfId="51" priority="62">
      <formula>E18=MAX($E$18,$G$18,$I$18)</formula>
    </cfRule>
  </conditionalFormatting>
  <conditionalFormatting sqref="E21 G21 I21">
    <cfRule type="expression" dxfId="50" priority="61">
      <formula>E21=MAX($E$21,$G$21,$I$21)</formula>
    </cfRule>
  </conditionalFormatting>
  <conditionalFormatting sqref="E33 G33 I33">
    <cfRule type="expression" dxfId="49" priority="60">
      <formula>E33=MAX($E$33,$G$33,$I$33)</formula>
    </cfRule>
  </conditionalFormatting>
  <conditionalFormatting sqref="E34 G34 I34">
    <cfRule type="expression" dxfId="48" priority="59">
      <formula>E34=MAX($E$34,$G$34,$I$34)</formula>
    </cfRule>
  </conditionalFormatting>
  <conditionalFormatting sqref="E36 G36 I36">
    <cfRule type="expression" dxfId="47" priority="58">
      <formula>E36=MAX($E$36,$G$36,$I$36)</formula>
    </cfRule>
  </conditionalFormatting>
  <conditionalFormatting sqref="E37 G37 I37">
    <cfRule type="expression" dxfId="46" priority="57">
      <formula>E37=MAX($E$37,$G$37,$I$37)</formula>
    </cfRule>
  </conditionalFormatting>
  <conditionalFormatting sqref="E42 G42 I42">
    <cfRule type="expression" dxfId="45" priority="56">
      <formula>E42=MAX($E$42,$G$42,$I$42)</formula>
    </cfRule>
  </conditionalFormatting>
  <conditionalFormatting sqref="E43 G43 I43">
    <cfRule type="expression" dxfId="44" priority="55">
      <formula>E43=MAX($E$43,$G$43,$I$43)</formula>
    </cfRule>
  </conditionalFormatting>
  <conditionalFormatting sqref="E19 G19 I19">
    <cfRule type="expression" dxfId="43" priority="54">
      <formula>E19=MIN($E$19,$G$19,$I$19)</formula>
    </cfRule>
  </conditionalFormatting>
  <conditionalFormatting sqref="E20 G20 I20">
    <cfRule type="expression" dxfId="42" priority="53">
      <formula>E20=MIN($E$20,$G$20,$I$20)</formula>
    </cfRule>
  </conditionalFormatting>
  <conditionalFormatting sqref="E22 G22 I22">
    <cfRule type="expression" dxfId="41" priority="52">
      <formula>E22=MIN($E$22,$G$22,$I$22)</formula>
    </cfRule>
  </conditionalFormatting>
  <conditionalFormatting sqref="E23 G23 I23">
    <cfRule type="expression" dxfId="40" priority="51">
      <formula>E23=MIN($E$23,$G$23,$I$23)</formula>
    </cfRule>
  </conditionalFormatting>
  <conditionalFormatting sqref="E24 G24 I24">
    <cfRule type="expression" dxfId="39" priority="50">
      <formula>E24=MIN($E$24,$G$24,$I$24)</formula>
    </cfRule>
  </conditionalFormatting>
  <conditionalFormatting sqref="E25 G25 I25">
    <cfRule type="expression" dxfId="38" priority="49">
      <formula>E25=MIN($E$25,$G$25,$I$25)</formula>
    </cfRule>
  </conditionalFormatting>
  <conditionalFormatting sqref="E27 G27 I27">
    <cfRule type="expression" dxfId="37" priority="48">
      <formula>E27=MIN($E$27,$G$27,$I$27)</formula>
    </cfRule>
  </conditionalFormatting>
  <conditionalFormatting sqref="E28 G28 I28">
    <cfRule type="expression" dxfId="36" priority="47">
      <formula>E28=MIN($E$28,$G$28,$I$28)</formula>
    </cfRule>
  </conditionalFormatting>
  <conditionalFormatting sqref="E29 G29 I29">
    <cfRule type="expression" dxfId="35" priority="46">
      <formula>E29=MIN($E$29,$G$29,$I$29)</formula>
    </cfRule>
  </conditionalFormatting>
  <conditionalFormatting sqref="E30 G30 I30">
    <cfRule type="expression" dxfId="34" priority="45">
      <formula>E30=MIN($E$30,$G$30,$I$30)</formula>
    </cfRule>
  </conditionalFormatting>
  <conditionalFormatting sqref="E31 G31 I31">
    <cfRule type="expression" dxfId="33" priority="44">
      <formula>E31=MIN($E$31,$G$31,$I$31)</formula>
    </cfRule>
  </conditionalFormatting>
  <conditionalFormatting sqref="E32 G32 I32">
    <cfRule type="expression" dxfId="32" priority="43">
      <formula>E32=MIN($E$32,$G$32,$I$32)</formula>
    </cfRule>
  </conditionalFormatting>
  <conditionalFormatting sqref="E35 G35 I35">
    <cfRule type="expression" dxfId="31" priority="42">
      <formula>E35=MIN($E$35,$G$35,$I$35)</formula>
    </cfRule>
  </conditionalFormatting>
  <conditionalFormatting sqref="E39 G39 I39">
    <cfRule type="expression" dxfId="30" priority="41">
      <formula>E39=MIN($E$39,$G$39,$I$39)</formula>
    </cfRule>
  </conditionalFormatting>
  <conditionalFormatting sqref="E40 G40 I40">
    <cfRule type="expression" dxfId="29" priority="40">
      <formula>E40=MIN($E$40,$G$40,$I$40)</formula>
    </cfRule>
  </conditionalFormatting>
  <conditionalFormatting sqref="E41 G41 I41">
    <cfRule type="expression" dxfId="28" priority="39">
      <formula>E41=MIN($E$41,$G$41,$I$41)</formula>
    </cfRule>
  </conditionalFormatting>
  <conditionalFormatting sqref="E44 G44 I44">
    <cfRule type="expression" dxfId="27" priority="38">
      <formula>E44=MIN($E$44,$G$44,$I$44)</formula>
    </cfRule>
  </conditionalFormatting>
  <conditionalFormatting sqref="E45 G45 I45">
    <cfRule type="expression" dxfId="26" priority="37">
      <formula>E45=MIN($E$45,$G$45,$I$45)</formula>
    </cfRule>
  </conditionalFormatting>
  <conditionalFormatting sqref="E46:E50 G46:G50 I46:I50">
    <cfRule type="expression" dxfId="25" priority="36">
      <formula>E46=MIN($E$46,$G$46,$I$46)</formula>
    </cfRule>
  </conditionalFormatting>
  <conditionalFormatting sqref="E26">
    <cfRule type="expression" dxfId="24" priority="35">
      <formula>E26&gt;0</formula>
    </cfRule>
  </conditionalFormatting>
  <conditionalFormatting sqref="E26">
    <cfRule type="expression" dxfId="23" priority="34">
      <formula>E26="-"</formula>
    </cfRule>
  </conditionalFormatting>
  <conditionalFormatting sqref="G26">
    <cfRule type="expression" dxfId="22" priority="33">
      <formula>G26&gt;0</formula>
    </cfRule>
  </conditionalFormatting>
  <conditionalFormatting sqref="G26">
    <cfRule type="expression" dxfId="21" priority="32">
      <formula>G26="-"</formula>
    </cfRule>
  </conditionalFormatting>
  <conditionalFormatting sqref="I26">
    <cfRule type="expression" dxfId="20" priority="31">
      <formula>I26&gt;0</formula>
    </cfRule>
  </conditionalFormatting>
  <conditionalFormatting sqref="I26">
    <cfRule type="expression" dxfId="19" priority="30">
      <formula>I26="-"</formula>
    </cfRule>
  </conditionalFormatting>
  <conditionalFormatting sqref="K26">
    <cfRule type="expression" dxfId="18" priority="29">
      <formula>K26&gt;0</formula>
    </cfRule>
  </conditionalFormatting>
  <conditionalFormatting sqref="K26">
    <cfRule type="expression" dxfId="17" priority="28">
      <formula>K26="-"</formula>
    </cfRule>
  </conditionalFormatting>
  <conditionalFormatting sqref="E26 G26 I26">
    <cfRule type="expression" dxfId="16" priority="27">
      <formula>E26=MIN($E$26,$G$26,$I$26)</formula>
    </cfRule>
  </conditionalFormatting>
  <conditionalFormatting sqref="E38">
    <cfRule type="expression" dxfId="15" priority="17">
      <formula>E38&gt;0</formula>
    </cfRule>
  </conditionalFormatting>
  <conditionalFormatting sqref="E38">
    <cfRule type="expression" dxfId="14" priority="16">
      <formula>E38="-"</formula>
    </cfRule>
  </conditionalFormatting>
  <conditionalFormatting sqref="G38">
    <cfRule type="expression" dxfId="13" priority="15">
      <formula>G38&gt;0</formula>
    </cfRule>
  </conditionalFormatting>
  <conditionalFormatting sqref="G38">
    <cfRule type="expression" dxfId="12" priority="14">
      <formula>G38="-"</formula>
    </cfRule>
  </conditionalFormatting>
  <conditionalFormatting sqref="I38">
    <cfRule type="expression" dxfId="11" priority="13">
      <formula>I38&gt;0</formula>
    </cfRule>
  </conditionalFormatting>
  <conditionalFormatting sqref="I38">
    <cfRule type="expression" dxfId="10" priority="12">
      <formula>I38="-"</formula>
    </cfRule>
  </conditionalFormatting>
  <conditionalFormatting sqref="K38">
    <cfRule type="expression" dxfId="9" priority="11">
      <formula>K38&gt;0</formula>
    </cfRule>
  </conditionalFormatting>
  <conditionalFormatting sqref="K38">
    <cfRule type="expression" dxfId="8" priority="10">
      <formula>K38="-"</formula>
    </cfRule>
  </conditionalFormatting>
  <conditionalFormatting sqref="E38 G38 I38">
    <cfRule type="expression" dxfId="7" priority="9">
      <formula>E38=MIN($E$38,$G$38,$I$38)</formula>
    </cfRule>
  </conditionalFormatting>
  <conditionalFormatting sqref="G16">
    <cfRule type="expression" dxfId="6" priority="7">
      <formula>G16&lt;0</formula>
    </cfRule>
  </conditionalFormatting>
  <conditionalFormatting sqref="G16">
    <cfRule type="expression" dxfId="5" priority="6">
      <formula>G16="-"</formula>
    </cfRule>
  </conditionalFormatting>
  <conditionalFormatting sqref="I16">
    <cfRule type="expression" dxfId="4" priority="5">
      <formula>I16&lt;0</formula>
    </cfRule>
  </conditionalFormatting>
  <conditionalFormatting sqref="I16">
    <cfRule type="expression" dxfId="3" priority="4">
      <formula>I16="-"</formula>
    </cfRule>
  </conditionalFormatting>
  <conditionalFormatting sqref="K16">
    <cfRule type="expression" dxfId="2" priority="3">
      <formula>K16=MAX($E$16,$G$16,$I$16)</formula>
    </cfRule>
  </conditionalFormatting>
  <conditionalFormatting sqref="K16">
    <cfRule type="expression" dxfId="1" priority="2">
      <formula>K16&lt;0</formula>
    </cfRule>
  </conditionalFormatting>
  <conditionalFormatting sqref="K16">
    <cfRule type="expression" dxfId="0" priority="1">
      <formula>K16="-"</formula>
    </cfRule>
  </conditionalFormatting>
  <pageMargins left="0.24" right="0.24" top="0.74803149606299213" bottom="0.74803149606299213" header="0.31496062992125984" footer="0.31496062992125984"/>
  <pageSetup paperSize="9" scale="6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F43"/>
  <sheetViews>
    <sheetView workbookViewId="0">
      <selection activeCell="B12" sqref="B12"/>
    </sheetView>
  </sheetViews>
  <sheetFormatPr baseColWidth="10" defaultColWidth="11.42578125" defaultRowHeight="15" x14ac:dyDescent="0.25"/>
  <cols>
    <col min="1" max="1" width="3" style="108" customWidth="1"/>
    <col min="2" max="2" width="57.28515625" style="108" customWidth="1"/>
    <col min="3" max="5" width="17.85546875" style="108" customWidth="1"/>
    <col min="6" max="6" width="17.85546875" style="107" customWidth="1"/>
    <col min="7" max="16384" width="11.42578125" style="108"/>
  </cols>
  <sheetData>
    <row r="1" spans="2:6" s="113" customFormat="1" ht="56.25" customHeight="1" thickBot="1" x14ac:dyDescent="0.3">
      <c r="B1" s="109" t="s">
        <v>63</v>
      </c>
      <c r="C1" s="110"/>
      <c r="D1" s="110" t="s">
        <v>64</v>
      </c>
      <c r="E1" s="110"/>
      <c r="F1" s="110"/>
    </row>
    <row r="2" spans="2:6" ht="9.1999999999999993" customHeight="1" thickTop="1" x14ac:dyDescent="0.25">
      <c r="B2" s="107"/>
      <c r="F2" s="108"/>
    </row>
    <row r="3" spans="2:6" s="114" customFormat="1" ht="21.75" customHeight="1" x14ac:dyDescent="0.2">
      <c r="C3" s="115"/>
    </row>
    <row r="4" spans="2:6" s="114" customFormat="1" ht="28.5" x14ac:dyDescent="0.45">
      <c r="B4" s="116" t="s">
        <v>97</v>
      </c>
      <c r="C4" s="115"/>
      <c r="D4" s="229" t="s">
        <v>12</v>
      </c>
      <c r="E4" s="230" t="str">
        <f>'Hoja de Trabajo RG'!J5</f>
        <v>Mayo</v>
      </c>
    </row>
    <row r="5" spans="2:6" s="114" customFormat="1" ht="5.25" customHeight="1" x14ac:dyDescent="0.2">
      <c r="B5" s="115"/>
      <c r="C5" s="115"/>
    </row>
    <row r="6" spans="2:6" s="114" customFormat="1" ht="15.75" x14ac:dyDescent="0.2">
      <c r="B6" s="115"/>
      <c r="C6" s="115"/>
      <c r="D6" s="313"/>
      <c r="E6" s="313"/>
    </row>
    <row r="7" spans="2:6" s="114" customFormat="1" ht="15" customHeight="1" x14ac:dyDescent="0.2">
      <c r="B7" s="115"/>
      <c r="C7" s="356"/>
      <c r="D7" s="359"/>
      <c r="E7" s="362"/>
      <c r="F7" s="365"/>
    </row>
    <row r="8" spans="2:6" ht="14.25" customHeight="1" x14ac:dyDescent="0.35">
      <c r="B8" s="119"/>
      <c r="C8" s="357"/>
      <c r="D8" s="360"/>
      <c r="E8" s="363"/>
      <c r="F8" s="366"/>
    </row>
    <row r="9" spans="2:6" x14ac:dyDescent="0.25">
      <c r="C9" s="357"/>
      <c r="D9" s="360"/>
      <c r="E9" s="363"/>
      <c r="F9" s="366"/>
    </row>
    <row r="10" spans="2:6" x14ac:dyDescent="0.25">
      <c r="C10" s="357"/>
      <c r="D10" s="360"/>
      <c r="E10" s="363"/>
      <c r="F10" s="366"/>
    </row>
    <row r="11" spans="2:6" s="231" customFormat="1" x14ac:dyDescent="0.25">
      <c r="C11" s="358"/>
      <c r="D11" s="361"/>
      <c r="E11" s="364"/>
      <c r="F11" s="367"/>
    </row>
    <row r="12" spans="2:6" x14ac:dyDescent="0.25">
      <c r="B12" s="235" t="s">
        <v>71</v>
      </c>
      <c r="C12" s="236"/>
      <c r="D12" s="236"/>
      <c r="E12" s="236"/>
      <c r="F12" s="236"/>
    </row>
    <row r="13" spans="2:6" s="141" customFormat="1" x14ac:dyDescent="0.25">
      <c r="B13" s="237" t="s">
        <v>74</v>
      </c>
      <c r="C13" s="238" t="s">
        <v>75</v>
      </c>
      <c r="D13" s="232">
        <v>267783.07</v>
      </c>
      <c r="E13" s="232">
        <v>378745.98</v>
      </c>
      <c r="F13" s="239">
        <f>SUM(D13:E13)</f>
        <v>646529.05000000005</v>
      </c>
    </row>
    <row r="14" spans="2:6" x14ac:dyDescent="0.25">
      <c r="B14" s="240" t="s">
        <v>76</v>
      </c>
      <c r="C14" s="241" t="s">
        <v>75</v>
      </c>
      <c r="D14" s="233">
        <v>1453</v>
      </c>
      <c r="E14" s="233">
        <v>966</v>
      </c>
      <c r="F14" s="242">
        <f t="shared" ref="F14:F19" si="0">SUM(D14:E14)</f>
        <v>2419</v>
      </c>
    </row>
    <row r="15" spans="2:6" x14ac:dyDescent="0.25">
      <c r="B15" s="240" t="s">
        <v>77</v>
      </c>
      <c r="C15" s="241" t="s">
        <v>75</v>
      </c>
      <c r="D15" s="233">
        <v>1088</v>
      </c>
      <c r="E15" s="233">
        <v>1406</v>
      </c>
      <c r="F15" s="242">
        <f t="shared" si="0"/>
        <v>2494</v>
      </c>
    </row>
    <row r="16" spans="2:6" x14ac:dyDescent="0.25">
      <c r="B16" s="240" t="s">
        <v>78</v>
      </c>
      <c r="C16" s="241" t="s">
        <v>75</v>
      </c>
      <c r="D16" s="233">
        <v>1098</v>
      </c>
      <c r="E16" s="233">
        <v>824</v>
      </c>
      <c r="F16" s="242">
        <f t="shared" si="0"/>
        <v>1922</v>
      </c>
    </row>
    <row r="17" spans="2:6" x14ac:dyDescent="0.25">
      <c r="B17" s="240" t="s">
        <v>79</v>
      </c>
      <c r="C17" s="241" t="s">
        <v>75</v>
      </c>
      <c r="D17" s="233">
        <v>52</v>
      </c>
      <c r="E17" s="233">
        <v>192</v>
      </c>
      <c r="F17" s="242">
        <f t="shared" si="0"/>
        <v>244</v>
      </c>
    </row>
    <row r="18" spans="2:6" x14ac:dyDescent="0.25">
      <c r="B18" s="240" t="s">
        <v>80</v>
      </c>
      <c r="C18" s="241" t="s">
        <v>75</v>
      </c>
      <c r="D18" s="233">
        <v>1240</v>
      </c>
      <c r="E18" s="233">
        <v>1196</v>
      </c>
      <c r="F18" s="242">
        <f t="shared" si="0"/>
        <v>2436</v>
      </c>
    </row>
    <row r="19" spans="2:6" x14ac:dyDescent="0.25">
      <c r="B19" s="243" t="s">
        <v>81</v>
      </c>
      <c r="C19" s="244" t="s">
        <v>75</v>
      </c>
      <c r="D19" s="234">
        <v>1676</v>
      </c>
      <c r="E19" s="234">
        <v>1287</v>
      </c>
      <c r="F19" s="245">
        <f t="shared" si="0"/>
        <v>2963</v>
      </c>
    </row>
    <row r="20" spans="2:6" x14ac:dyDescent="0.25">
      <c r="B20" s="235" t="s">
        <v>72</v>
      </c>
      <c r="C20" s="236"/>
      <c r="D20" s="236"/>
      <c r="E20" s="236"/>
      <c r="F20" s="236"/>
    </row>
    <row r="21" spans="2:6" s="141" customFormat="1" x14ac:dyDescent="0.25">
      <c r="B21" s="237" t="s">
        <v>74</v>
      </c>
      <c r="C21" s="232">
        <v>92923.95</v>
      </c>
      <c r="D21" s="238" t="s">
        <v>75</v>
      </c>
      <c r="E21" s="232">
        <v>27069.99</v>
      </c>
      <c r="F21" s="239">
        <f>C21+E21</f>
        <v>119993.94</v>
      </c>
    </row>
    <row r="22" spans="2:6" x14ac:dyDescent="0.25">
      <c r="B22" s="240" t="s">
        <v>76</v>
      </c>
      <c r="C22" s="233">
        <v>559</v>
      </c>
      <c r="D22" s="241" t="s">
        <v>75</v>
      </c>
      <c r="E22" s="233">
        <v>246</v>
      </c>
      <c r="F22" s="242">
        <f t="shared" ref="F22:F27" si="1">C22+E22</f>
        <v>805</v>
      </c>
    </row>
    <row r="23" spans="2:6" x14ac:dyDescent="0.25">
      <c r="B23" s="240" t="s">
        <v>77</v>
      </c>
      <c r="C23" s="233">
        <v>818</v>
      </c>
      <c r="D23" s="241" t="s">
        <v>75</v>
      </c>
      <c r="E23" s="233">
        <v>191</v>
      </c>
      <c r="F23" s="242">
        <f t="shared" si="1"/>
        <v>1009</v>
      </c>
    </row>
    <row r="24" spans="2:6" x14ac:dyDescent="0.25">
      <c r="B24" s="240" t="s">
        <v>78</v>
      </c>
      <c r="C24" s="233">
        <v>68</v>
      </c>
      <c r="D24" s="241" t="s">
        <v>75</v>
      </c>
      <c r="E24" s="233">
        <v>54</v>
      </c>
      <c r="F24" s="242">
        <f t="shared" si="1"/>
        <v>122</v>
      </c>
    </row>
    <row r="25" spans="2:6" x14ac:dyDescent="0.25">
      <c r="B25" s="240" t="s">
        <v>79</v>
      </c>
      <c r="C25" s="233">
        <v>0</v>
      </c>
      <c r="D25" s="241" t="s">
        <v>75</v>
      </c>
      <c r="E25" s="233">
        <v>0</v>
      </c>
      <c r="F25" s="242">
        <f t="shared" si="1"/>
        <v>0</v>
      </c>
    </row>
    <row r="26" spans="2:6" x14ac:dyDescent="0.25">
      <c r="B26" s="240" t="s">
        <v>80</v>
      </c>
      <c r="C26" s="233">
        <v>1040</v>
      </c>
      <c r="D26" s="241" t="s">
        <v>75</v>
      </c>
      <c r="E26" s="233">
        <v>553</v>
      </c>
      <c r="F26" s="242">
        <f t="shared" si="1"/>
        <v>1593</v>
      </c>
    </row>
    <row r="27" spans="2:6" x14ac:dyDescent="0.25">
      <c r="B27" s="243" t="s">
        <v>81</v>
      </c>
      <c r="C27" s="234">
        <v>685</v>
      </c>
      <c r="D27" s="244" t="s">
        <v>75</v>
      </c>
      <c r="E27" s="234">
        <v>284</v>
      </c>
      <c r="F27" s="245">
        <f t="shared" si="1"/>
        <v>969</v>
      </c>
    </row>
    <row r="28" spans="2:6" x14ac:dyDescent="0.25">
      <c r="B28" s="235" t="s">
        <v>73</v>
      </c>
      <c r="C28" s="236"/>
      <c r="D28" s="236"/>
      <c r="E28" s="236"/>
      <c r="F28" s="236"/>
    </row>
    <row r="29" spans="2:6" s="141" customFormat="1" x14ac:dyDescent="0.25">
      <c r="B29" s="237" t="s">
        <v>74</v>
      </c>
      <c r="C29" s="232">
        <v>29158.62</v>
      </c>
      <c r="D29" s="232">
        <v>6278.87</v>
      </c>
      <c r="E29" s="238" t="s">
        <v>75</v>
      </c>
      <c r="F29" s="239">
        <f>SUM(C29:D29)</f>
        <v>35437.49</v>
      </c>
    </row>
    <row r="30" spans="2:6" x14ac:dyDescent="0.25">
      <c r="B30" s="240" t="s">
        <v>76</v>
      </c>
      <c r="C30" s="233" t="s">
        <v>100</v>
      </c>
      <c r="D30" s="233" t="s">
        <v>100</v>
      </c>
      <c r="E30" s="241" t="s">
        <v>75</v>
      </c>
      <c r="F30" s="242">
        <f t="shared" ref="F30:F35" si="2">SUM(C30:D30)</f>
        <v>0</v>
      </c>
    </row>
    <row r="31" spans="2:6" x14ac:dyDescent="0.25">
      <c r="B31" s="240" t="s">
        <v>77</v>
      </c>
      <c r="C31" s="233" t="s">
        <v>100</v>
      </c>
      <c r="D31" s="233" t="s">
        <v>100</v>
      </c>
      <c r="E31" s="241" t="s">
        <v>75</v>
      </c>
      <c r="F31" s="242">
        <f t="shared" si="2"/>
        <v>0</v>
      </c>
    </row>
    <row r="32" spans="2:6" x14ac:dyDescent="0.25">
      <c r="B32" s="240" t="s">
        <v>78</v>
      </c>
      <c r="C32" s="233" t="s">
        <v>100</v>
      </c>
      <c r="D32" s="233" t="s">
        <v>100</v>
      </c>
      <c r="E32" s="241" t="s">
        <v>75</v>
      </c>
      <c r="F32" s="242">
        <f t="shared" si="2"/>
        <v>0</v>
      </c>
    </row>
    <row r="33" spans="2:6" x14ac:dyDescent="0.25">
      <c r="B33" s="240" t="s">
        <v>79</v>
      </c>
      <c r="C33" s="233" t="s">
        <v>100</v>
      </c>
      <c r="D33" s="233" t="s">
        <v>100</v>
      </c>
      <c r="E33" s="241" t="s">
        <v>75</v>
      </c>
      <c r="F33" s="242">
        <f t="shared" si="2"/>
        <v>0</v>
      </c>
    </row>
    <row r="34" spans="2:6" x14ac:dyDescent="0.25">
      <c r="B34" s="240" t="s">
        <v>80</v>
      </c>
      <c r="C34" s="233" t="s">
        <v>100</v>
      </c>
      <c r="D34" s="233" t="s">
        <v>100</v>
      </c>
      <c r="E34" s="241" t="s">
        <v>75</v>
      </c>
      <c r="F34" s="242">
        <f t="shared" si="2"/>
        <v>0</v>
      </c>
    </row>
    <row r="35" spans="2:6" x14ac:dyDescent="0.25">
      <c r="B35" s="243" t="s">
        <v>81</v>
      </c>
      <c r="C35" s="234" t="s">
        <v>100</v>
      </c>
      <c r="D35" s="234" t="s">
        <v>100</v>
      </c>
      <c r="E35" s="244" t="s">
        <v>75</v>
      </c>
      <c r="F35" s="245">
        <f t="shared" si="2"/>
        <v>0</v>
      </c>
    </row>
    <row r="36" spans="2:6" x14ac:dyDescent="0.25">
      <c r="B36" s="246" t="s">
        <v>98</v>
      </c>
      <c r="C36" s="236"/>
      <c r="D36" s="236"/>
      <c r="E36" s="236"/>
      <c r="F36" s="236"/>
    </row>
    <row r="37" spans="2:6" x14ac:dyDescent="0.25">
      <c r="B37" s="237" t="s">
        <v>74</v>
      </c>
      <c r="C37" s="239">
        <f>F13</f>
        <v>646529.05000000005</v>
      </c>
      <c r="D37" s="239">
        <f>F21</f>
        <v>119993.94</v>
      </c>
      <c r="E37" s="250">
        <f>F29</f>
        <v>35437.49</v>
      </c>
      <c r="F37" s="247">
        <f>SUM(C37:E37)</f>
        <v>801960.48</v>
      </c>
    </row>
    <row r="38" spans="2:6" x14ac:dyDescent="0.25">
      <c r="B38" s="240" t="s">
        <v>76</v>
      </c>
      <c r="C38" s="242">
        <f t="shared" ref="C38:C43" si="3">F14</f>
        <v>2419</v>
      </c>
      <c r="D38" s="242">
        <f t="shared" ref="D38:D43" si="4">F22</f>
        <v>805</v>
      </c>
      <c r="E38" s="242">
        <f t="shared" ref="E38:E43" si="5">F30</f>
        <v>0</v>
      </c>
      <c r="F38" s="248">
        <f t="shared" ref="F38:F43" si="6">SUM(C38:E38)</f>
        <v>3224</v>
      </c>
    </row>
    <row r="39" spans="2:6" x14ac:dyDescent="0.25">
      <c r="B39" s="240" t="s">
        <v>77</v>
      </c>
      <c r="C39" s="242">
        <f t="shared" si="3"/>
        <v>2494</v>
      </c>
      <c r="D39" s="242">
        <f t="shared" si="4"/>
        <v>1009</v>
      </c>
      <c r="E39" s="242">
        <f t="shared" si="5"/>
        <v>0</v>
      </c>
      <c r="F39" s="248">
        <f t="shared" si="6"/>
        <v>3503</v>
      </c>
    </row>
    <row r="40" spans="2:6" x14ac:dyDescent="0.25">
      <c r="B40" s="240" t="s">
        <v>78</v>
      </c>
      <c r="C40" s="242">
        <f t="shared" si="3"/>
        <v>1922</v>
      </c>
      <c r="D40" s="242">
        <f t="shared" si="4"/>
        <v>122</v>
      </c>
      <c r="E40" s="242">
        <f t="shared" si="5"/>
        <v>0</v>
      </c>
      <c r="F40" s="248">
        <f t="shared" si="6"/>
        <v>2044</v>
      </c>
    </row>
    <row r="41" spans="2:6" x14ac:dyDescent="0.25">
      <c r="B41" s="240" t="s">
        <v>79</v>
      </c>
      <c r="C41" s="242">
        <f t="shared" si="3"/>
        <v>244</v>
      </c>
      <c r="D41" s="242">
        <f t="shared" si="4"/>
        <v>0</v>
      </c>
      <c r="E41" s="242">
        <f t="shared" si="5"/>
        <v>0</v>
      </c>
      <c r="F41" s="248">
        <f t="shared" si="6"/>
        <v>244</v>
      </c>
    </row>
    <row r="42" spans="2:6" x14ac:dyDescent="0.25">
      <c r="B42" s="240" t="s">
        <v>80</v>
      </c>
      <c r="C42" s="242">
        <f t="shared" si="3"/>
        <v>2436</v>
      </c>
      <c r="D42" s="242">
        <f t="shared" si="4"/>
        <v>1593</v>
      </c>
      <c r="E42" s="242">
        <f t="shared" si="5"/>
        <v>0</v>
      </c>
      <c r="F42" s="248">
        <f t="shared" si="6"/>
        <v>4029</v>
      </c>
    </row>
    <row r="43" spans="2:6" x14ac:dyDescent="0.25">
      <c r="B43" s="243" t="s">
        <v>81</v>
      </c>
      <c r="C43" s="245">
        <f t="shared" si="3"/>
        <v>2963</v>
      </c>
      <c r="D43" s="245">
        <f t="shared" si="4"/>
        <v>969</v>
      </c>
      <c r="E43" s="245">
        <f t="shared" si="5"/>
        <v>0</v>
      </c>
      <c r="F43" s="249">
        <f t="shared" si="6"/>
        <v>3932</v>
      </c>
    </row>
  </sheetData>
  <sheetProtection password="A490" sheet="1" objects="1" scenarios="1"/>
  <mergeCells count="5">
    <mergeCell ref="D6:E6"/>
    <mergeCell ref="C7:C11"/>
    <mergeCell ref="D7:D11"/>
    <mergeCell ref="E7:E11"/>
    <mergeCell ref="F7:F11"/>
  </mergeCells>
  <pageMargins left="0.7" right="0.7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Hoja de Trabajo RG</vt:lpstr>
      <vt:lpstr>Hoja de Trabajo RETA</vt:lpstr>
      <vt:lpstr>Hoja de Trabajo TOTAL</vt:lpstr>
      <vt:lpstr>Cuadro de Mandos RG</vt:lpstr>
      <vt:lpstr>Cuadro de Mandos RETA</vt:lpstr>
      <vt:lpstr>Cuadro de Mandos TOTAL</vt:lpstr>
      <vt:lpstr>Actividad entre Mutuas</vt:lpstr>
      <vt:lpstr>'Cuadro de Mandos RETA'!Área_de_impresión</vt:lpstr>
      <vt:lpstr>'Cuadro de Mandos RG'!Área_de_impresión</vt:lpstr>
      <vt:lpstr>'Cuadro de Mandos TOTAL'!Área_de_impresión</vt:lpstr>
      <vt:lpstr>'Hoja de Trabajo RETA'!Área_de_impresión</vt:lpstr>
      <vt:lpstr>'Hoja de Trabajo RG'!Área_de_impresión</vt:lpstr>
      <vt:lpstr>'Hoja de Trabajo TOTAL'!Área_de_impresión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GOMEZ ROJAS</dc:creator>
  <cp:lastModifiedBy>IRENE GOMEZ ROJAS</cp:lastModifiedBy>
  <cp:lastPrinted>2020-04-30T08:42:56Z</cp:lastPrinted>
  <dcterms:created xsi:type="dcterms:W3CDTF">2019-10-10T11:55:23Z</dcterms:created>
  <dcterms:modified xsi:type="dcterms:W3CDTF">2020-06-29T08:08:56Z</dcterms:modified>
</cp:coreProperties>
</file>